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hreadedComments/threadedComment2.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3.xml" ContentType="application/vnd.ms-excel.threaded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aklcouncil-my.sharepoint.com/personal/tinkerr_aklc_govt_nz/Documents/Queue requests/Contribution etc/Supporting/"/>
    </mc:Choice>
  </mc:AlternateContent>
  <xr:revisionPtr revIDLastSave="2" documentId="13_ncr:1_{60E2D373-C84F-4723-A9D2-FFEABAB785D3}" xr6:coauthVersionLast="47" xr6:coauthVersionMax="47" xr10:uidLastSave="{257CCEEF-2B86-4FD2-9843-80F448299C3F}"/>
  <bookViews>
    <workbookView xWindow="-108" yWindow="-108" windowWidth="23256" windowHeight="12456" activeTab="10" xr2:uid="{8B8D7737-0152-4351-823E-D666CC3EFC48}"/>
  </bookViews>
  <sheets>
    <sheet name="Renewal Rates" sheetId="2" r:id="rId1"/>
    <sheet name="Growth" sheetId="16" r:id="rId2"/>
    <sheet name="Consultation" sheetId="1" r:id="rId3"/>
    <sheet name="Tamaki Pipe Net Scen 2" sheetId="11" r:id="rId4"/>
    <sheet name="Tamaki Pipe Net Scen 3" sheetId="12" r:id="rId5"/>
    <sheet name="Tamaki Scenario Summary" sheetId="13" r:id="rId6"/>
    <sheet name="Tamaki Pipe Network UnEscal" sheetId="14" r:id="rId7"/>
    <sheet name="Tamaki Pipe Network  Escal" sheetId="17" r:id="rId8"/>
    <sheet name="Tamaki Specific Proj Escalated" sheetId="3" r:id="rId9"/>
    <sheet name="30 yr projects not in LTP" sheetId="19" r:id="rId10"/>
    <sheet name="Projects in LTP &amp; DCs" sheetId="18" r:id="rId11"/>
  </sheets>
  <definedNames>
    <definedName name="_xlnm._FilterDatabase" localSheetId="2" hidden="1">Consultation!$A$1:$AO$1052</definedName>
    <definedName name="_xlnm._FilterDatabase" localSheetId="4" hidden="1">'Tamaki Pipe Net Scen 3'!$A$2:$U$960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5" i="3" l="1"/>
  <c r="AZ25" i="3"/>
  <c r="AZ24" i="3"/>
  <c r="AY24" i="3"/>
  <c r="AZ23" i="3"/>
  <c r="AY23" i="3"/>
  <c r="AZ22" i="3"/>
  <c r="AY22" i="3"/>
  <c r="AZ21" i="3"/>
  <c r="AY21" i="3"/>
  <c r="AZ20" i="3"/>
  <c r="AY20" i="3"/>
  <c r="AZ19" i="3"/>
  <c r="AY19" i="3"/>
  <c r="AF28" i="16"/>
  <c r="AE28" i="16"/>
  <c r="AM20" i="16"/>
  <c r="AN20" i="16"/>
  <c r="AM19" i="16"/>
  <c r="AN19" i="16"/>
  <c r="M20" i="14"/>
  <c r="L20" i="14"/>
  <c r="K20" i="14"/>
  <c r="L13" i="14"/>
  <c r="K13" i="14"/>
  <c r="N8" i="3" l="1"/>
  <c r="M8" i="3"/>
  <c r="AB5" i="3" l="1"/>
  <c r="AW24" i="3" l="1"/>
  <c r="AX24" i="3" s="1"/>
  <c r="AW23" i="3"/>
  <c r="AX23" i="3" s="1"/>
  <c r="AW21" i="3"/>
  <c r="AX21" i="3" s="1"/>
  <c r="AX19" i="3"/>
  <c r="AW19" i="3"/>
  <c r="AM17" i="16"/>
  <c r="AN17" i="16"/>
  <c r="E17" i="16"/>
  <c r="F17" i="16"/>
  <c r="F18" i="16" s="1"/>
  <c r="G17" i="16"/>
  <c r="G18" i="16" s="1"/>
  <c r="H17" i="16"/>
  <c r="H18" i="16" s="1"/>
  <c r="I17" i="16"/>
  <c r="I18" i="16" s="1"/>
  <c r="J17" i="16"/>
  <c r="K17" i="16"/>
  <c r="K18" i="16" s="1"/>
  <c r="L17" i="16"/>
  <c r="L18" i="16" s="1"/>
  <c r="M17" i="16"/>
  <c r="M18" i="16" s="1"/>
  <c r="N17" i="16"/>
  <c r="N18" i="16" s="1"/>
  <c r="O17" i="16"/>
  <c r="O18" i="16" s="1"/>
  <c r="P17" i="16"/>
  <c r="P18" i="16" s="1"/>
  <c r="Q17" i="16"/>
  <c r="R17" i="16"/>
  <c r="R18" i="16" s="1"/>
  <c r="S17" i="16"/>
  <c r="T17" i="16"/>
  <c r="T18" i="16" s="1"/>
  <c r="U17" i="16"/>
  <c r="U18" i="16" s="1"/>
  <c r="V17" i="16"/>
  <c r="V18" i="16" s="1"/>
  <c r="W17" i="16"/>
  <c r="W18" i="16" s="1"/>
  <c r="X17" i="16"/>
  <c r="Y17" i="16"/>
  <c r="Y18" i="16" s="1"/>
  <c r="Z17" i="16"/>
  <c r="Z18" i="16" s="1"/>
  <c r="AA17" i="16"/>
  <c r="AA18" i="16" s="1"/>
  <c r="AB17" i="16"/>
  <c r="AB18" i="16" s="1"/>
  <c r="AC17" i="16"/>
  <c r="AD17" i="16"/>
  <c r="AD18" i="16" s="1"/>
  <c r="AE17" i="16"/>
  <c r="AE18" i="16" s="1"/>
  <c r="AF17" i="16"/>
  <c r="AF18" i="16" s="1"/>
  <c r="AG17" i="16"/>
  <c r="AH17" i="16"/>
  <c r="AH18" i="16" s="1"/>
  <c r="AI17" i="16"/>
  <c r="AI18" i="16" s="1"/>
  <c r="AJ17" i="16"/>
  <c r="AJ18" i="16" s="1"/>
  <c r="AK17" i="16"/>
  <c r="AK18" i="16" s="1"/>
  <c r="AL17" i="16"/>
  <c r="D17" i="16"/>
  <c r="Q18" i="16" l="1"/>
  <c r="AC18" i="16"/>
  <c r="E18" i="16"/>
  <c r="AL18" i="16"/>
  <c r="X18" i="16"/>
  <c r="J18" i="16"/>
  <c r="N19" i="16" s="1"/>
  <c r="S18" i="16"/>
  <c r="AB19" i="16" s="1"/>
  <c r="AG18" i="16"/>
  <c r="AC19" i="16" l="1"/>
  <c r="T19" i="16"/>
  <c r="AK19" i="16"/>
  <c r="U19" i="16"/>
  <c r="AL19" i="16"/>
  <c r="AA19" i="16"/>
  <c r="AI19" i="16"/>
  <c r="P19" i="16"/>
  <c r="J19" i="16"/>
  <c r="Q19" i="16"/>
  <c r="K19" i="16"/>
  <c r="G19" i="16"/>
  <c r="AJ19" i="16"/>
  <c r="O19" i="16"/>
  <c r="I19" i="16"/>
  <c r="W19" i="16"/>
  <c r="AD19" i="16"/>
  <c r="X19" i="16"/>
  <c r="AH19" i="16"/>
  <c r="Y19" i="16"/>
  <c r="AG19" i="16"/>
  <c r="L19" i="16"/>
  <c r="V19" i="16"/>
  <c r="Z19" i="16"/>
  <c r="AE19" i="16"/>
  <c r="F19" i="16"/>
  <c r="H19" i="16"/>
  <c r="R19" i="16"/>
  <c r="S19" i="16"/>
  <c r="M19" i="16"/>
  <c r="AF19" i="16"/>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2" i="1"/>
  <c r="K11" i="17" l="1"/>
  <c r="J11" i="17"/>
  <c r="N24" i="14"/>
  <c r="I20" i="14"/>
  <c r="N20" i="14" s="1"/>
  <c r="I13" i="14"/>
  <c r="N13" i="14" s="1"/>
  <c r="B13" i="13"/>
  <c r="B12" i="13"/>
  <c r="P10" i="3" l="1"/>
  <c r="P9" i="3"/>
  <c r="P7" i="3"/>
  <c r="P6" i="3"/>
  <c r="P5" i="3"/>
  <c r="D18" i="17" l="1"/>
  <c r="J18" i="17"/>
  <c r="K18" i="17"/>
  <c r="C18" i="17"/>
  <c r="T4" i="11"/>
  <c r="U4" i="11" s="1"/>
  <c r="T5" i="11"/>
  <c r="U5" i="11" s="1"/>
  <c r="T6" i="11"/>
  <c r="U6" i="11" s="1"/>
  <c r="T7" i="11"/>
  <c r="U7" i="11"/>
  <c r="T8" i="11"/>
  <c r="U8" i="11" s="1"/>
  <c r="T9" i="11"/>
  <c r="U9" i="11" s="1"/>
  <c r="T10" i="11"/>
  <c r="U10" i="11" s="1"/>
  <c r="T11" i="11"/>
  <c r="U11" i="11"/>
  <c r="T12" i="11"/>
  <c r="U12" i="11"/>
  <c r="T13" i="11"/>
  <c r="U13" i="11" s="1"/>
  <c r="T14" i="11"/>
  <c r="U14" i="11" s="1"/>
  <c r="T15" i="11"/>
  <c r="U15" i="11" s="1"/>
  <c r="T16" i="11"/>
  <c r="U16" i="11"/>
  <c r="T17" i="11"/>
  <c r="U17" i="11" s="1"/>
  <c r="T18" i="11"/>
  <c r="U18" i="11" s="1"/>
  <c r="T19" i="11"/>
  <c r="U19" i="11"/>
  <c r="T20" i="11"/>
  <c r="U20" i="11" s="1"/>
  <c r="T21" i="11"/>
  <c r="U21" i="11" s="1"/>
  <c r="T22" i="11"/>
  <c r="U22" i="11" s="1"/>
  <c r="T23" i="11"/>
  <c r="U23" i="11"/>
  <c r="T24" i="11"/>
  <c r="U24" i="11" s="1"/>
  <c r="T25" i="11"/>
  <c r="U25" i="11" s="1"/>
  <c r="T26" i="11"/>
  <c r="U26" i="11" s="1"/>
  <c r="T27" i="11"/>
  <c r="U27" i="11"/>
  <c r="T28" i="11"/>
  <c r="U28" i="11" s="1"/>
  <c r="T29" i="11"/>
  <c r="U29" i="11" s="1"/>
  <c r="T30" i="11"/>
  <c r="U30" i="11" s="1"/>
  <c r="T31" i="11"/>
  <c r="U31" i="11" s="1"/>
  <c r="T32" i="11"/>
  <c r="U32" i="11" s="1"/>
  <c r="T33" i="11"/>
  <c r="U33" i="11" s="1"/>
  <c r="T34" i="11"/>
  <c r="U34" i="11" s="1"/>
  <c r="T35" i="11"/>
  <c r="U35" i="11" s="1"/>
  <c r="T36" i="11"/>
  <c r="U36" i="11" s="1"/>
  <c r="T37" i="11"/>
  <c r="U37" i="11" s="1"/>
  <c r="T38" i="11"/>
  <c r="U38" i="11" s="1"/>
  <c r="T39" i="11"/>
  <c r="U39" i="11" s="1"/>
  <c r="T40" i="11"/>
  <c r="U40" i="11" s="1"/>
  <c r="T41" i="11"/>
  <c r="U41" i="11" s="1"/>
  <c r="T42" i="11"/>
  <c r="U42" i="11" s="1"/>
  <c r="T43" i="11"/>
  <c r="U43" i="11"/>
  <c r="T44" i="11"/>
  <c r="U44" i="11" s="1"/>
  <c r="T45" i="11"/>
  <c r="U45" i="11" s="1"/>
  <c r="T46" i="11"/>
  <c r="U46" i="11" s="1"/>
  <c r="T47" i="11"/>
  <c r="U47" i="11"/>
  <c r="T48" i="11"/>
  <c r="U48" i="11" s="1"/>
  <c r="T49" i="11"/>
  <c r="U49" i="11" s="1"/>
  <c r="T50" i="11"/>
  <c r="U50" i="11" s="1"/>
  <c r="T51" i="11"/>
  <c r="U51" i="11"/>
  <c r="T52" i="11"/>
  <c r="U52" i="11" s="1"/>
  <c r="T53" i="11"/>
  <c r="U53" i="11" s="1"/>
  <c r="T54" i="11"/>
  <c r="U54" i="11" s="1"/>
  <c r="T55" i="11"/>
  <c r="U55" i="11"/>
  <c r="T56" i="11"/>
  <c r="U56" i="11" s="1"/>
  <c r="T57" i="11"/>
  <c r="U57" i="11" s="1"/>
  <c r="T58" i="11"/>
  <c r="U58" i="11" s="1"/>
  <c r="T59" i="11"/>
  <c r="U59" i="11" s="1"/>
  <c r="T60" i="11"/>
  <c r="U60" i="11" s="1"/>
  <c r="T61" i="11"/>
  <c r="U61" i="11" s="1"/>
  <c r="T62" i="11"/>
  <c r="U62" i="11" s="1"/>
  <c r="T63" i="11"/>
  <c r="U63" i="11" s="1"/>
  <c r="T64" i="11"/>
  <c r="U64" i="11" s="1"/>
  <c r="T65" i="11"/>
  <c r="U65" i="11" s="1"/>
  <c r="T66" i="11"/>
  <c r="U66" i="11" s="1"/>
  <c r="T67" i="11"/>
  <c r="U67" i="11" s="1"/>
  <c r="T68" i="11"/>
  <c r="U68" i="11" s="1"/>
  <c r="T69" i="11"/>
  <c r="U69" i="11" s="1"/>
  <c r="T70" i="11"/>
  <c r="U70" i="11" s="1"/>
  <c r="T71" i="11"/>
  <c r="U71" i="11" s="1"/>
  <c r="T72" i="11"/>
  <c r="U72" i="11" s="1"/>
  <c r="T73" i="11"/>
  <c r="U73" i="11" s="1"/>
  <c r="T74" i="11"/>
  <c r="U74" i="11" s="1"/>
  <c r="T75" i="11"/>
  <c r="U75" i="11"/>
  <c r="T76" i="11"/>
  <c r="U76" i="11" s="1"/>
  <c r="T77" i="11"/>
  <c r="U77" i="11" s="1"/>
  <c r="T78" i="11"/>
  <c r="U78" i="11" s="1"/>
  <c r="T79" i="11"/>
  <c r="U79" i="11" s="1"/>
  <c r="T80" i="11"/>
  <c r="U80" i="11"/>
  <c r="T81" i="11"/>
  <c r="U81" i="11" s="1"/>
  <c r="T82" i="11"/>
  <c r="U82" i="11" s="1"/>
  <c r="T83" i="11"/>
  <c r="U83" i="11" s="1"/>
  <c r="T84" i="11"/>
  <c r="U84" i="11" s="1"/>
  <c r="T85" i="11"/>
  <c r="U85" i="11" s="1"/>
  <c r="T86" i="11"/>
  <c r="U86" i="11" s="1"/>
  <c r="T87" i="11"/>
  <c r="U87" i="11" s="1"/>
  <c r="T88" i="11"/>
  <c r="U88" i="11" s="1"/>
  <c r="T89" i="11"/>
  <c r="U89" i="11" s="1"/>
  <c r="T90" i="11"/>
  <c r="U90" i="11" s="1"/>
  <c r="T91" i="11"/>
  <c r="U91" i="11"/>
  <c r="T92" i="11"/>
  <c r="U92" i="11" s="1"/>
  <c r="T93" i="11"/>
  <c r="U93" i="11" s="1"/>
  <c r="T94" i="11"/>
  <c r="U94" i="11" s="1"/>
  <c r="T95" i="11"/>
  <c r="U95" i="11" s="1"/>
  <c r="T96" i="11"/>
  <c r="U96" i="11" s="1"/>
  <c r="T97" i="11"/>
  <c r="U97" i="11" s="1"/>
  <c r="T98" i="11"/>
  <c r="U98" i="11" s="1"/>
  <c r="T99" i="11"/>
  <c r="U99" i="11" s="1"/>
  <c r="T100" i="11"/>
  <c r="U100" i="11" s="1"/>
  <c r="T101" i="11"/>
  <c r="U101" i="11" s="1"/>
  <c r="T102" i="11"/>
  <c r="U102" i="11" s="1"/>
  <c r="T103" i="11"/>
  <c r="U103" i="11" s="1"/>
  <c r="T104" i="11"/>
  <c r="U104" i="11" s="1"/>
  <c r="T105" i="11"/>
  <c r="U105" i="11" s="1"/>
  <c r="T106" i="11"/>
  <c r="U106" i="11" s="1"/>
  <c r="T107" i="11"/>
  <c r="U107" i="11"/>
  <c r="T108" i="11"/>
  <c r="U108" i="11" s="1"/>
  <c r="T109" i="11"/>
  <c r="U109" i="11" s="1"/>
  <c r="T110" i="11"/>
  <c r="U110" i="11" s="1"/>
  <c r="T111" i="11"/>
  <c r="U111" i="11" s="1"/>
  <c r="T112" i="11"/>
  <c r="U112" i="11"/>
  <c r="T113" i="11"/>
  <c r="U113" i="11" s="1"/>
  <c r="T114" i="11"/>
  <c r="U114" i="11" s="1"/>
  <c r="T115" i="11"/>
  <c r="U115" i="11" s="1"/>
  <c r="T116" i="11"/>
  <c r="U116" i="11" s="1"/>
  <c r="T117" i="11"/>
  <c r="U117" i="11" s="1"/>
  <c r="T118" i="11"/>
  <c r="U118" i="11" s="1"/>
  <c r="T119" i="11"/>
  <c r="U119" i="11" s="1"/>
  <c r="T120" i="11"/>
  <c r="U120" i="11" s="1"/>
  <c r="T121" i="11"/>
  <c r="U121" i="11" s="1"/>
  <c r="T122" i="11"/>
  <c r="U122" i="11" s="1"/>
  <c r="T123" i="11"/>
  <c r="U123" i="11" s="1"/>
  <c r="T124" i="11"/>
  <c r="U124" i="11" s="1"/>
  <c r="T125" i="11"/>
  <c r="U125" i="11" s="1"/>
  <c r="T126" i="11"/>
  <c r="U126" i="11" s="1"/>
  <c r="T127" i="11"/>
  <c r="U127" i="11" s="1"/>
  <c r="T128" i="11"/>
  <c r="U128" i="11"/>
  <c r="T129" i="11"/>
  <c r="U129" i="11" s="1"/>
  <c r="T130" i="11"/>
  <c r="U130" i="11" s="1"/>
  <c r="T131" i="11"/>
  <c r="U131" i="11" s="1"/>
  <c r="T132" i="11"/>
  <c r="U132" i="11" s="1"/>
  <c r="T133" i="11"/>
  <c r="U133" i="11" s="1"/>
  <c r="T134" i="11"/>
  <c r="U134" i="11" s="1"/>
  <c r="T135" i="11"/>
  <c r="U135" i="11" s="1"/>
  <c r="T136" i="11"/>
  <c r="U136" i="11" s="1"/>
  <c r="T137" i="11"/>
  <c r="U137" i="11" s="1"/>
  <c r="T138" i="11"/>
  <c r="U138" i="11" s="1"/>
  <c r="T139" i="11"/>
  <c r="U139" i="11" s="1"/>
  <c r="T140" i="11"/>
  <c r="U140" i="11" s="1"/>
  <c r="T141" i="11"/>
  <c r="U141" i="11" s="1"/>
  <c r="T142" i="11"/>
  <c r="U142" i="11" s="1"/>
  <c r="T143" i="11"/>
  <c r="U143" i="11" s="1"/>
  <c r="T144" i="11"/>
  <c r="U144" i="11"/>
  <c r="T145" i="11"/>
  <c r="U145" i="11" s="1"/>
  <c r="T146" i="11"/>
  <c r="U146" i="11" s="1"/>
  <c r="T147" i="11"/>
  <c r="U147" i="11" s="1"/>
  <c r="T148" i="11"/>
  <c r="U148" i="11" s="1"/>
  <c r="T149" i="11"/>
  <c r="U149" i="11" s="1"/>
  <c r="T150" i="11"/>
  <c r="U150" i="11" s="1"/>
  <c r="T151" i="11"/>
  <c r="U151" i="11" s="1"/>
  <c r="T152" i="11"/>
  <c r="U152" i="11" s="1"/>
  <c r="T153" i="11"/>
  <c r="U153" i="11" s="1"/>
  <c r="T154" i="11"/>
  <c r="U154" i="11" s="1"/>
  <c r="T155" i="11"/>
  <c r="U155" i="11" s="1"/>
  <c r="T156" i="11"/>
  <c r="U156" i="11" s="1"/>
  <c r="T157" i="11"/>
  <c r="U157" i="11" s="1"/>
  <c r="T158" i="11"/>
  <c r="U158" i="11" s="1"/>
  <c r="T159" i="11"/>
  <c r="U159" i="11" s="1"/>
  <c r="T160" i="11"/>
  <c r="U160" i="11" s="1"/>
  <c r="T161" i="11"/>
  <c r="U161" i="11" s="1"/>
  <c r="T162" i="11"/>
  <c r="U162" i="11" s="1"/>
  <c r="T163" i="11"/>
  <c r="U163" i="11" s="1"/>
  <c r="T164" i="11"/>
  <c r="U164" i="11" s="1"/>
  <c r="T165" i="11"/>
  <c r="U165" i="11" s="1"/>
  <c r="T166" i="11"/>
  <c r="U166" i="11" s="1"/>
  <c r="T167" i="11"/>
  <c r="U167" i="11" s="1"/>
  <c r="T168" i="11"/>
  <c r="U168" i="11" s="1"/>
  <c r="T169" i="11"/>
  <c r="U169" i="11" s="1"/>
  <c r="T170" i="11"/>
  <c r="U170" i="11" s="1"/>
  <c r="T171" i="11"/>
  <c r="U171" i="11" s="1"/>
  <c r="T172" i="11"/>
  <c r="U172" i="11" s="1"/>
  <c r="T173" i="11"/>
  <c r="U173" i="11" s="1"/>
  <c r="T174" i="11"/>
  <c r="U174" i="11" s="1"/>
  <c r="T175" i="11"/>
  <c r="U175" i="11" s="1"/>
  <c r="T176" i="11"/>
  <c r="U176" i="11" s="1"/>
  <c r="T177" i="11"/>
  <c r="U177" i="11" s="1"/>
  <c r="T178" i="11"/>
  <c r="U178" i="11" s="1"/>
  <c r="T179" i="11"/>
  <c r="U179" i="11" s="1"/>
  <c r="T180" i="11"/>
  <c r="U180" i="11" s="1"/>
  <c r="T181" i="11"/>
  <c r="U181" i="11" s="1"/>
  <c r="T182" i="11"/>
  <c r="U182" i="11" s="1"/>
  <c r="T183" i="11"/>
  <c r="U183" i="11" s="1"/>
  <c r="T184" i="11"/>
  <c r="U184" i="11" s="1"/>
  <c r="T185" i="11"/>
  <c r="U185" i="11" s="1"/>
  <c r="T186" i="11"/>
  <c r="U186" i="11" s="1"/>
  <c r="T187" i="11"/>
  <c r="U187" i="11" s="1"/>
  <c r="T188" i="11"/>
  <c r="U188" i="11" s="1"/>
  <c r="T189" i="11"/>
  <c r="U189" i="11" s="1"/>
  <c r="T190" i="11"/>
  <c r="U190" i="11" s="1"/>
  <c r="T191" i="11"/>
  <c r="U191" i="11" s="1"/>
  <c r="T192" i="11"/>
  <c r="U192" i="11" s="1"/>
  <c r="T193" i="11"/>
  <c r="U193" i="11" s="1"/>
  <c r="T194" i="11"/>
  <c r="U194" i="11" s="1"/>
  <c r="T195" i="11"/>
  <c r="U195" i="11" s="1"/>
  <c r="T196" i="11"/>
  <c r="U196" i="11" s="1"/>
  <c r="T197" i="11"/>
  <c r="U197" i="11" s="1"/>
  <c r="T198" i="11"/>
  <c r="U198" i="11" s="1"/>
  <c r="T199" i="11"/>
  <c r="U199" i="11" s="1"/>
  <c r="T200" i="11"/>
  <c r="U200" i="11" s="1"/>
  <c r="T201" i="11"/>
  <c r="U201" i="11" s="1"/>
  <c r="T202" i="11"/>
  <c r="U202" i="11" s="1"/>
  <c r="T203" i="11"/>
  <c r="U203" i="11" s="1"/>
  <c r="T204" i="11"/>
  <c r="U204" i="11" s="1"/>
  <c r="T205" i="11"/>
  <c r="U205" i="11" s="1"/>
  <c r="T206" i="11"/>
  <c r="U206" i="11" s="1"/>
  <c r="T207" i="11"/>
  <c r="U207" i="11" s="1"/>
  <c r="T208" i="11"/>
  <c r="U208" i="11"/>
  <c r="T209" i="11"/>
  <c r="U209" i="11"/>
  <c r="T210" i="11"/>
  <c r="U210" i="11" s="1"/>
  <c r="T211" i="11"/>
  <c r="U211" i="11" s="1"/>
  <c r="T212" i="11"/>
  <c r="U212" i="11" s="1"/>
  <c r="T213" i="11"/>
  <c r="U213" i="11" s="1"/>
  <c r="T214" i="11"/>
  <c r="U214" i="11" s="1"/>
  <c r="T215" i="11"/>
  <c r="U215" i="11"/>
  <c r="T216" i="11"/>
  <c r="U216" i="11" s="1"/>
  <c r="T217" i="11"/>
  <c r="U217" i="11"/>
  <c r="T218" i="11"/>
  <c r="U218" i="11" s="1"/>
  <c r="T219" i="11"/>
  <c r="U219" i="11" s="1"/>
  <c r="T220" i="11"/>
  <c r="U220" i="11" s="1"/>
  <c r="T221" i="11"/>
  <c r="U221" i="11" s="1"/>
  <c r="T222" i="11"/>
  <c r="U222" i="11" s="1"/>
  <c r="T223" i="11"/>
  <c r="U223" i="11"/>
  <c r="T224" i="11"/>
  <c r="U224" i="11"/>
  <c r="T225" i="11"/>
  <c r="U225" i="11" s="1"/>
  <c r="T226" i="11"/>
  <c r="U226" i="11" s="1"/>
  <c r="T227" i="11"/>
  <c r="U227" i="11" s="1"/>
  <c r="T228" i="11"/>
  <c r="U228" i="11" s="1"/>
  <c r="T229" i="11"/>
  <c r="U229" i="11" s="1"/>
  <c r="T230" i="11"/>
  <c r="U230" i="11" s="1"/>
  <c r="T231" i="11"/>
  <c r="U231" i="11"/>
  <c r="T232" i="11"/>
  <c r="U232" i="11" s="1"/>
  <c r="T233" i="11"/>
  <c r="U233" i="11"/>
  <c r="T234" i="11"/>
  <c r="U234" i="11" s="1"/>
  <c r="T235" i="11"/>
  <c r="U235" i="11" s="1"/>
  <c r="T236" i="11"/>
  <c r="U236" i="11" s="1"/>
  <c r="T237" i="11"/>
  <c r="U237" i="11" s="1"/>
  <c r="T238" i="11"/>
  <c r="U238" i="11" s="1"/>
  <c r="T239" i="11"/>
  <c r="U239" i="11" s="1"/>
  <c r="T240" i="11"/>
  <c r="U240" i="11" s="1"/>
  <c r="T241" i="11"/>
  <c r="U241" i="11"/>
  <c r="T242" i="11"/>
  <c r="U242" i="11" s="1"/>
  <c r="T243" i="11"/>
  <c r="U243" i="11" s="1"/>
  <c r="T244" i="11"/>
  <c r="U244" i="11"/>
  <c r="T245" i="11"/>
  <c r="U245" i="11" s="1"/>
  <c r="T246" i="11"/>
  <c r="U246" i="11" s="1"/>
  <c r="T247" i="11"/>
  <c r="U247" i="11"/>
  <c r="T248" i="11"/>
  <c r="U248" i="11" s="1"/>
  <c r="T249" i="11"/>
  <c r="U249" i="11"/>
  <c r="T250" i="11"/>
  <c r="U250" i="11" s="1"/>
  <c r="T251" i="11"/>
  <c r="U251" i="11" s="1"/>
  <c r="T252" i="11"/>
  <c r="U252" i="11" s="1"/>
  <c r="T253" i="11"/>
  <c r="U253" i="11" s="1"/>
  <c r="T254" i="11"/>
  <c r="U254" i="11" s="1"/>
  <c r="T255" i="11"/>
  <c r="U255" i="11"/>
  <c r="T256" i="11"/>
  <c r="U256" i="11" s="1"/>
  <c r="T257" i="11"/>
  <c r="U257" i="11" s="1"/>
  <c r="T258" i="11"/>
  <c r="U258" i="11" s="1"/>
  <c r="T259" i="11"/>
  <c r="U259" i="11" s="1"/>
  <c r="T260" i="11"/>
  <c r="U260" i="11" s="1"/>
  <c r="T261" i="11"/>
  <c r="U261" i="11" s="1"/>
  <c r="T262" i="11"/>
  <c r="U262" i="11" s="1"/>
  <c r="T263" i="11"/>
  <c r="U263" i="11"/>
  <c r="T264" i="11"/>
  <c r="U264" i="11"/>
  <c r="T265" i="11"/>
  <c r="U265" i="11"/>
  <c r="T266" i="11"/>
  <c r="U266" i="11" s="1"/>
  <c r="T267" i="11"/>
  <c r="U267" i="11"/>
  <c r="T268" i="11"/>
  <c r="U268" i="11" s="1"/>
  <c r="T269" i="11"/>
  <c r="U269" i="11" s="1"/>
  <c r="T270" i="11"/>
  <c r="U270" i="11" s="1"/>
  <c r="T271" i="11"/>
  <c r="U271" i="11" s="1"/>
  <c r="T272" i="11"/>
  <c r="U272" i="11"/>
  <c r="T273" i="11"/>
  <c r="U273" i="11" s="1"/>
  <c r="T274" i="11"/>
  <c r="U274" i="11" s="1"/>
  <c r="T275" i="11"/>
  <c r="U275" i="11" s="1"/>
  <c r="T276" i="11"/>
  <c r="U276" i="11"/>
  <c r="T277" i="11"/>
  <c r="U277" i="11" s="1"/>
  <c r="T278" i="11"/>
  <c r="U278" i="11" s="1"/>
  <c r="T279" i="11"/>
  <c r="U279" i="11"/>
  <c r="T280" i="11"/>
  <c r="U280" i="11" s="1"/>
  <c r="T281" i="11"/>
  <c r="U281" i="11"/>
  <c r="T282" i="11"/>
  <c r="U282" i="11" s="1"/>
  <c r="T283" i="11"/>
  <c r="U283" i="11" s="1"/>
  <c r="T284" i="11"/>
  <c r="U284" i="11" s="1"/>
  <c r="T285" i="11"/>
  <c r="U285" i="11"/>
  <c r="T286" i="11"/>
  <c r="U286" i="11" s="1"/>
  <c r="T287" i="11"/>
  <c r="U287" i="11" s="1"/>
  <c r="T288" i="11"/>
  <c r="U288" i="11" s="1"/>
  <c r="T289" i="11"/>
  <c r="U289" i="11" s="1"/>
  <c r="T290" i="11"/>
  <c r="U290" i="11" s="1"/>
  <c r="T291" i="11"/>
  <c r="U291" i="11" s="1"/>
  <c r="T292" i="11"/>
  <c r="U292" i="11" s="1"/>
  <c r="T293" i="11"/>
  <c r="U293" i="11" s="1"/>
  <c r="T294" i="11"/>
  <c r="U294" i="11" s="1"/>
  <c r="T295" i="11"/>
  <c r="U295" i="11"/>
  <c r="T296" i="11"/>
  <c r="U296" i="11"/>
  <c r="T297" i="11"/>
  <c r="U297" i="11" s="1"/>
  <c r="T298" i="11"/>
  <c r="U298" i="11" s="1"/>
  <c r="T299" i="11"/>
  <c r="U299" i="11"/>
  <c r="T300" i="11"/>
  <c r="U300" i="11" s="1"/>
  <c r="T301" i="11"/>
  <c r="U301" i="11" s="1"/>
  <c r="T302" i="11"/>
  <c r="U302" i="11" s="1"/>
  <c r="T303" i="11"/>
  <c r="U303" i="11" s="1"/>
  <c r="T304" i="11"/>
  <c r="U304" i="11" s="1"/>
  <c r="T305" i="11"/>
  <c r="U305" i="11"/>
  <c r="T306" i="11"/>
  <c r="U306" i="11" s="1"/>
  <c r="T307" i="11"/>
  <c r="U307" i="11" s="1"/>
  <c r="T308" i="11"/>
  <c r="U308" i="11"/>
  <c r="T309" i="11"/>
  <c r="U309" i="11" s="1"/>
  <c r="T310" i="11"/>
  <c r="U310" i="11" s="1"/>
  <c r="T311" i="11"/>
  <c r="U311" i="11" s="1"/>
  <c r="T312" i="11"/>
  <c r="U312" i="11" s="1"/>
  <c r="T313" i="11"/>
  <c r="U313" i="11"/>
  <c r="T314" i="11"/>
  <c r="U314" i="11" s="1"/>
  <c r="T315" i="11"/>
  <c r="U315" i="11" s="1"/>
  <c r="T316" i="11"/>
  <c r="U316" i="11" s="1"/>
  <c r="T317" i="11"/>
  <c r="U317" i="11"/>
  <c r="T318" i="11"/>
  <c r="U318" i="11" s="1"/>
  <c r="T319" i="11"/>
  <c r="U319" i="11" s="1"/>
  <c r="T320" i="11"/>
  <c r="U320" i="11"/>
  <c r="T321" i="11"/>
  <c r="U321" i="11" s="1"/>
  <c r="T322" i="11"/>
  <c r="U322" i="11" s="1"/>
  <c r="T323" i="11"/>
  <c r="U323" i="11" s="1"/>
  <c r="T324" i="11"/>
  <c r="U324" i="11" s="1"/>
  <c r="T325" i="11"/>
  <c r="U325" i="11" s="1"/>
  <c r="T326" i="11"/>
  <c r="U326" i="11" s="1"/>
  <c r="T327" i="11"/>
  <c r="U327" i="11"/>
  <c r="T328" i="11"/>
  <c r="U328" i="11" s="1"/>
  <c r="T329" i="11"/>
  <c r="U329" i="11" s="1"/>
  <c r="T330" i="11"/>
  <c r="U330" i="11" s="1"/>
  <c r="T331" i="11"/>
  <c r="U331" i="11" s="1"/>
  <c r="T332" i="11"/>
  <c r="U332" i="11" s="1"/>
  <c r="T333" i="11"/>
  <c r="U333" i="11" s="1"/>
  <c r="T334" i="11"/>
  <c r="U334" i="11" s="1"/>
  <c r="T335" i="11"/>
  <c r="U335" i="11" s="1"/>
  <c r="T336" i="11"/>
  <c r="U336" i="11"/>
  <c r="T337" i="11"/>
  <c r="U337" i="11"/>
  <c r="T338" i="11"/>
  <c r="U338" i="11" s="1"/>
  <c r="T339" i="11"/>
  <c r="U339" i="11" s="1"/>
  <c r="T340" i="11"/>
  <c r="U340" i="11"/>
  <c r="T341" i="11"/>
  <c r="U341" i="11" s="1"/>
  <c r="T342" i="11"/>
  <c r="U342" i="11" s="1"/>
  <c r="T343" i="11"/>
  <c r="U343" i="11"/>
  <c r="T344" i="11"/>
  <c r="U344" i="11" s="1"/>
  <c r="T345" i="11"/>
  <c r="U345" i="11"/>
  <c r="T346" i="11"/>
  <c r="U346" i="11"/>
  <c r="T347" i="11"/>
  <c r="U347" i="11" s="1"/>
  <c r="T348" i="11"/>
  <c r="U348" i="11" s="1"/>
  <c r="T349" i="11"/>
  <c r="U349" i="11"/>
  <c r="T350" i="11"/>
  <c r="U350" i="11" s="1"/>
  <c r="T351" i="11"/>
  <c r="U351" i="11"/>
  <c r="T352" i="11"/>
  <c r="U352" i="11" s="1"/>
  <c r="T353" i="11"/>
  <c r="U353" i="11"/>
  <c r="T354" i="11"/>
  <c r="U354" i="11"/>
  <c r="T355" i="11"/>
  <c r="U355" i="11" s="1"/>
  <c r="T356" i="11"/>
  <c r="U356" i="11" s="1"/>
  <c r="T357" i="11"/>
  <c r="U357" i="11"/>
  <c r="T358" i="11"/>
  <c r="U358" i="11" s="1"/>
  <c r="T359" i="11"/>
  <c r="U359" i="11"/>
  <c r="T360" i="11"/>
  <c r="U360" i="11" s="1"/>
  <c r="T361" i="11"/>
  <c r="U361" i="11"/>
  <c r="T362" i="11"/>
  <c r="U362" i="11"/>
  <c r="T363" i="11"/>
  <c r="U363" i="11" s="1"/>
  <c r="T364" i="11"/>
  <c r="U364" i="11" s="1"/>
  <c r="T365" i="11"/>
  <c r="U365" i="11"/>
  <c r="T366" i="11"/>
  <c r="U366" i="11" s="1"/>
  <c r="T367" i="11"/>
  <c r="U367" i="11"/>
  <c r="T368" i="11"/>
  <c r="U368" i="11" s="1"/>
  <c r="T369" i="11"/>
  <c r="U369" i="11"/>
  <c r="T370" i="11"/>
  <c r="U370" i="11"/>
  <c r="T371" i="11"/>
  <c r="U371" i="11" s="1"/>
  <c r="T372" i="11"/>
  <c r="U372" i="11" s="1"/>
  <c r="T373" i="11"/>
  <c r="U373" i="11" s="1"/>
  <c r="T374" i="11"/>
  <c r="U374" i="11"/>
  <c r="T375" i="11"/>
  <c r="U375" i="11" s="1"/>
  <c r="T376" i="11"/>
  <c r="U376" i="11" s="1"/>
  <c r="T377" i="11"/>
  <c r="U377" i="11"/>
  <c r="T378" i="11"/>
  <c r="U378" i="11"/>
  <c r="T379" i="11"/>
  <c r="U379" i="11" s="1"/>
  <c r="T380" i="11"/>
  <c r="U380" i="11" s="1"/>
  <c r="T381" i="11"/>
  <c r="U381" i="11" s="1"/>
  <c r="T382" i="11"/>
  <c r="U382" i="11" s="1"/>
  <c r="T383" i="11"/>
  <c r="U383" i="11" s="1"/>
  <c r="T384" i="11"/>
  <c r="U384" i="11" s="1"/>
  <c r="T385" i="11"/>
  <c r="U385" i="11"/>
  <c r="T386" i="11"/>
  <c r="U386" i="11"/>
  <c r="T387" i="11"/>
  <c r="U387" i="11" s="1"/>
  <c r="T388" i="11"/>
  <c r="U388" i="11" s="1"/>
  <c r="T389" i="11"/>
  <c r="U389" i="11"/>
  <c r="T390" i="11"/>
  <c r="U390" i="11" s="1"/>
  <c r="T391" i="11"/>
  <c r="U391" i="11" s="1"/>
  <c r="T392" i="11"/>
  <c r="U392" i="11" s="1"/>
  <c r="T393" i="11"/>
  <c r="U393" i="11"/>
  <c r="T394" i="11"/>
  <c r="U394" i="11"/>
  <c r="T395" i="11"/>
  <c r="U395" i="11" s="1"/>
  <c r="T396" i="11"/>
  <c r="U396" i="11" s="1"/>
  <c r="T397" i="11"/>
  <c r="U397" i="11"/>
  <c r="T398" i="11"/>
  <c r="U398" i="11"/>
  <c r="T399" i="11"/>
  <c r="U399" i="11" s="1"/>
  <c r="T400" i="11"/>
  <c r="U400" i="11" s="1"/>
  <c r="T401" i="11"/>
  <c r="U401" i="11" s="1"/>
  <c r="T402" i="11"/>
  <c r="U402" i="11"/>
  <c r="T403" i="11"/>
  <c r="U403" i="11" s="1"/>
  <c r="T404" i="11"/>
  <c r="U404" i="11" s="1"/>
  <c r="T405" i="11"/>
  <c r="U405" i="11"/>
  <c r="T406" i="11"/>
  <c r="U406" i="11"/>
  <c r="T407" i="11"/>
  <c r="U407" i="11" s="1"/>
  <c r="T408" i="11"/>
  <c r="U408" i="11" s="1"/>
  <c r="T409" i="11"/>
  <c r="U409" i="11" s="1"/>
  <c r="T410" i="11"/>
  <c r="U410" i="11" s="1"/>
  <c r="T411" i="11"/>
  <c r="U411" i="11" s="1"/>
  <c r="T412" i="11"/>
  <c r="U412" i="11" s="1"/>
  <c r="T413" i="11"/>
  <c r="U413" i="11"/>
  <c r="T414" i="11"/>
  <c r="U414" i="11"/>
  <c r="T415" i="11"/>
  <c r="U415" i="11" s="1"/>
  <c r="T416" i="11"/>
  <c r="U416" i="11" s="1"/>
  <c r="T417" i="11"/>
  <c r="U417" i="11"/>
  <c r="T418" i="11"/>
  <c r="U418" i="11" s="1"/>
  <c r="T419" i="11"/>
  <c r="U419" i="11" s="1"/>
  <c r="T420" i="11"/>
  <c r="U420" i="11" s="1"/>
  <c r="T421" i="11"/>
  <c r="U421" i="11"/>
  <c r="T422" i="11"/>
  <c r="U422" i="11"/>
  <c r="T423" i="11"/>
  <c r="U423" i="11" s="1"/>
  <c r="T424" i="11"/>
  <c r="U424" i="11" s="1"/>
  <c r="T425" i="11"/>
  <c r="U425" i="11"/>
  <c r="T426" i="11"/>
  <c r="U426" i="11"/>
  <c r="T427" i="11"/>
  <c r="U427" i="11" s="1"/>
  <c r="T428" i="11"/>
  <c r="U428" i="11" s="1"/>
  <c r="T429" i="11"/>
  <c r="U429" i="11" s="1"/>
  <c r="T430" i="11"/>
  <c r="U430" i="11"/>
  <c r="T431" i="11"/>
  <c r="U431" i="11" s="1"/>
  <c r="T432" i="11"/>
  <c r="U432" i="11" s="1"/>
  <c r="T433" i="11"/>
  <c r="U433" i="11"/>
  <c r="T434" i="11"/>
  <c r="U434" i="11"/>
  <c r="T435" i="11"/>
  <c r="U435" i="11" s="1"/>
  <c r="T436" i="11"/>
  <c r="U436" i="11" s="1"/>
  <c r="T437" i="11"/>
  <c r="U437" i="11" s="1"/>
  <c r="T438" i="11"/>
  <c r="U438" i="11" s="1"/>
  <c r="T439" i="11"/>
  <c r="U439" i="11" s="1"/>
  <c r="T440" i="11"/>
  <c r="U440" i="11" s="1"/>
  <c r="T441" i="11"/>
  <c r="U441" i="11"/>
  <c r="T442" i="11"/>
  <c r="U442" i="11"/>
  <c r="T443" i="11"/>
  <c r="U443" i="11" s="1"/>
  <c r="T444" i="11"/>
  <c r="U444" i="11" s="1"/>
  <c r="T445" i="11"/>
  <c r="U445" i="11"/>
  <c r="T446" i="11"/>
  <c r="U446" i="11" s="1"/>
  <c r="T447" i="11"/>
  <c r="U447" i="11" s="1"/>
  <c r="T448" i="11"/>
  <c r="U448" i="11" s="1"/>
  <c r="T449" i="11"/>
  <c r="U449" i="11"/>
  <c r="T450" i="11"/>
  <c r="U450" i="11"/>
  <c r="T451" i="11"/>
  <c r="U451" i="11" s="1"/>
  <c r="T452" i="11"/>
  <c r="U452" i="11" s="1"/>
  <c r="T453" i="11"/>
  <c r="U453" i="11"/>
  <c r="T454" i="11"/>
  <c r="U454" i="11"/>
  <c r="T455" i="11"/>
  <c r="U455" i="11" s="1"/>
  <c r="T456" i="11"/>
  <c r="U456" i="11" s="1"/>
  <c r="T457" i="11"/>
  <c r="U457" i="11" s="1"/>
  <c r="T458" i="11"/>
  <c r="U458" i="11"/>
  <c r="T459" i="11"/>
  <c r="U459" i="11" s="1"/>
  <c r="T460" i="11"/>
  <c r="U460" i="11" s="1"/>
  <c r="T461" i="11"/>
  <c r="U461" i="11"/>
  <c r="T462" i="11"/>
  <c r="U462" i="11"/>
  <c r="T463" i="11"/>
  <c r="U463" i="11" s="1"/>
  <c r="T464" i="11"/>
  <c r="U464" i="11" s="1"/>
  <c r="T465" i="11"/>
  <c r="U465" i="11" s="1"/>
  <c r="T466" i="11"/>
  <c r="U466" i="11" s="1"/>
  <c r="T467" i="11"/>
  <c r="U467" i="11" s="1"/>
  <c r="T468" i="11"/>
  <c r="U468" i="11" s="1"/>
  <c r="T469" i="11"/>
  <c r="U469" i="11" s="1"/>
  <c r="T470" i="11"/>
  <c r="U470" i="11"/>
  <c r="T471" i="11"/>
  <c r="U471" i="11" s="1"/>
  <c r="T472" i="11"/>
  <c r="U472" i="11" s="1"/>
  <c r="T473" i="11"/>
  <c r="U473" i="11"/>
  <c r="T474" i="11"/>
  <c r="U474" i="11" s="1"/>
  <c r="T475" i="11"/>
  <c r="U475" i="11" s="1"/>
  <c r="T476" i="11"/>
  <c r="U476" i="11" s="1"/>
  <c r="T477" i="11"/>
  <c r="U477" i="11"/>
  <c r="T478" i="11"/>
  <c r="U478" i="11" s="1"/>
  <c r="T479" i="11"/>
  <c r="U479" i="11" s="1"/>
  <c r="T480" i="11"/>
  <c r="U480" i="11" s="1"/>
  <c r="T481" i="11"/>
  <c r="U481" i="11"/>
  <c r="T482" i="11"/>
  <c r="U482" i="11"/>
  <c r="T483" i="11"/>
  <c r="U483" i="11" s="1"/>
  <c r="T484" i="11"/>
  <c r="U484" i="11" s="1"/>
  <c r="T485" i="11"/>
  <c r="U485" i="11" s="1"/>
  <c r="T486" i="11"/>
  <c r="U486" i="11"/>
  <c r="T487" i="11"/>
  <c r="U487" i="11" s="1"/>
  <c r="T488" i="11"/>
  <c r="U488" i="11" s="1"/>
  <c r="T489" i="11"/>
  <c r="U489" i="11"/>
  <c r="T490" i="11"/>
  <c r="U490" i="11"/>
  <c r="T491" i="11"/>
  <c r="U491" i="11" s="1"/>
  <c r="T492" i="11"/>
  <c r="U492" i="11" s="1"/>
  <c r="T493" i="11"/>
  <c r="U493" i="11" s="1"/>
  <c r="T494" i="11"/>
  <c r="U494" i="11" s="1"/>
  <c r="T495" i="11"/>
  <c r="U495" i="11" s="1"/>
  <c r="T496" i="11"/>
  <c r="U496" i="11" s="1"/>
  <c r="T497" i="11"/>
  <c r="U497" i="11" s="1"/>
  <c r="T498" i="11"/>
  <c r="U498" i="11"/>
  <c r="T499" i="11"/>
  <c r="U499" i="11" s="1"/>
  <c r="T500" i="11"/>
  <c r="U500" i="11" s="1"/>
  <c r="T501" i="11"/>
  <c r="U501" i="11"/>
  <c r="T502" i="11"/>
  <c r="U502" i="11" s="1"/>
  <c r="T503" i="11"/>
  <c r="U503" i="11" s="1"/>
  <c r="T504" i="11"/>
  <c r="U504" i="11" s="1"/>
  <c r="T505" i="11"/>
  <c r="U505" i="11"/>
  <c r="T506" i="11"/>
  <c r="U506" i="11" s="1"/>
  <c r="T507" i="11"/>
  <c r="U507" i="11" s="1"/>
  <c r="T508" i="11"/>
  <c r="U508" i="11" s="1"/>
  <c r="T509" i="11"/>
  <c r="U509" i="11"/>
  <c r="T510" i="11"/>
  <c r="U510" i="11"/>
  <c r="T511" i="11"/>
  <c r="U511" i="11" s="1"/>
  <c r="T512" i="11"/>
  <c r="U512" i="11" s="1"/>
  <c r="T513" i="11"/>
  <c r="U513" i="11" s="1"/>
  <c r="T514" i="11"/>
  <c r="U514" i="11"/>
  <c r="T515" i="11"/>
  <c r="U515" i="11" s="1"/>
  <c r="T516" i="11"/>
  <c r="U516" i="11" s="1"/>
  <c r="T517" i="11"/>
  <c r="U517" i="11"/>
  <c r="T518" i="11"/>
  <c r="U518" i="11"/>
  <c r="T519" i="11"/>
  <c r="U519" i="11" s="1"/>
  <c r="T520" i="11"/>
  <c r="U520" i="11" s="1"/>
  <c r="T521" i="11"/>
  <c r="U521" i="11" s="1"/>
  <c r="T522" i="11"/>
  <c r="U522" i="11" s="1"/>
  <c r="T523" i="11"/>
  <c r="U523" i="11" s="1"/>
  <c r="T524" i="11"/>
  <c r="U524" i="11" s="1"/>
  <c r="T525" i="11"/>
  <c r="U525" i="11" s="1"/>
  <c r="T526" i="11"/>
  <c r="U526" i="11"/>
  <c r="T527" i="11"/>
  <c r="U527" i="11" s="1"/>
  <c r="T528" i="11"/>
  <c r="U528" i="11" s="1"/>
  <c r="T529" i="11"/>
  <c r="U529" i="11"/>
  <c r="T530" i="11"/>
  <c r="U530" i="11" s="1"/>
  <c r="T531" i="11"/>
  <c r="U531" i="11" s="1"/>
  <c r="T532" i="11"/>
  <c r="U532" i="11" s="1"/>
  <c r="T533" i="11"/>
  <c r="U533" i="11"/>
  <c r="T534" i="11"/>
  <c r="U534" i="11" s="1"/>
  <c r="T535" i="11"/>
  <c r="U535" i="11" s="1"/>
  <c r="T536" i="11"/>
  <c r="U536" i="11" s="1"/>
  <c r="T537" i="11"/>
  <c r="U537" i="11"/>
  <c r="T538" i="11"/>
  <c r="U538" i="11"/>
  <c r="T539" i="11"/>
  <c r="U539" i="11" s="1"/>
  <c r="T540" i="11"/>
  <c r="U540" i="11" s="1"/>
  <c r="T541" i="11"/>
  <c r="U541" i="11" s="1"/>
  <c r="T542" i="11"/>
  <c r="U542" i="11"/>
  <c r="T543" i="11"/>
  <c r="U543" i="11" s="1"/>
  <c r="T544" i="11"/>
  <c r="U544" i="11" s="1"/>
  <c r="T545" i="11"/>
  <c r="U545" i="11"/>
  <c r="T546" i="11"/>
  <c r="U546" i="11"/>
  <c r="T547" i="11"/>
  <c r="U547" i="11" s="1"/>
  <c r="T548" i="11"/>
  <c r="U548" i="11" s="1"/>
  <c r="T549" i="11"/>
  <c r="U549" i="11" s="1"/>
  <c r="T550" i="11"/>
  <c r="U550" i="11" s="1"/>
  <c r="T551" i="11"/>
  <c r="U551" i="11" s="1"/>
  <c r="T3" i="11"/>
  <c r="U3" i="11" s="1"/>
  <c r="T614" i="12"/>
  <c r="U614" i="12" s="1"/>
  <c r="T615" i="12"/>
  <c r="U615" i="12" s="1"/>
  <c r="T616" i="12"/>
  <c r="U616" i="12" s="1"/>
  <c r="T617" i="12"/>
  <c r="U617" i="12" s="1"/>
  <c r="T618" i="12"/>
  <c r="U618" i="12" s="1"/>
  <c r="T619" i="12"/>
  <c r="U619" i="12" s="1"/>
  <c r="T620" i="12"/>
  <c r="U620" i="12" s="1"/>
  <c r="T621" i="12"/>
  <c r="U621" i="12" s="1"/>
  <c r="T622" i="12"/>
  <c r="U622" i="12" s="1"/>
  <c r="T623" i="12"/>
  <c r="U623" i="12" s="1"/>
  <c r="T624" i="12"/>
  <c r="U624" i="12" s="1"/>
  <c r="T625" i="12"/>
  <c r="U625" i="12" s="1"/>
  <c r="T626" i="12"/>
  <c r="U626" i="12" s="1"/>
  <c r="T627" i="12"/>
  <c r="U627" i="12" s="1"/>
  <c r="T628" i="12"/>
  <c r="U628" i="12" s="1"/>
  <c r="T629" i="12"/>
  <c r="U629" i="12" s="1"/>
  <c r="T630" i="12"/>
  <c r="U630" i="12" s="1"/>
  <c r="T631" i="12"/>
  <c r="U631" i="12" s="1"/>
  <c r="T632" i="12"/>
  <c r="U632" i="12" s="1"/>
  <c r="T633" i="12"/>
  <c r="U633" i="12" s="1"/>
  <c r="T634" i="12"/>
  <c r="U634" i="12" s="1"/>
  <c r="T635" i="12"/>
  <c r="U635" i="12" s="1"/>
  <c r="T636" i="12"/>
  <c r="U636" i="12" s="1"/>
  <c r="T637" i="12"/>
  <c r="U637" i="12" s="1"/>
  <c r="T638" i="12"/>
  <c r="U638" i="12" s="1"/>
  <c r="T639" i="12"/>
  <c r="U639" i="12" s="1"/>
  <c r="T640" i="12"/>
  <c r="U640" i="12" s="1"/>
  <c r="T641" i="12"/>
  <c r="U641" i="12" s="1"/>
  <c r="T642" i="12"/>
  <c r="U642" i="12" s="1"/>
  <c r="T643" i="12"/>
  <c r="U643" i="12" s="1"/>
  <c r="T644" i="12"/>
  <c r="U644" i="12" s="1"/>
  <c r="T645" i="12"/>
  <c r="U645" i="12" s="1"/>
  <c r="T646" i="12"/>
  <c r="U646" i="12" s="1"/>
  <c r="T647" i="12"/>
  <c r="U647" i="12" s="1"/>
  <c r="T648" i="12"/>
  <c r="U648" i="12" s="1"/>
  <c r="T649" i="12"/>
  <c r="U649" i="12" s="1"/>
  <c r="T650" i="12"/>
  <c r="U650" i="12" s="1"/>
  <c r="T651" i="12"/>
  <c r="U651" i="12" s="1"/>
  <c r="T652" i="12"/>
  <c r="U652" i="12" s="1"/>
  <c r="T653" i="12"/>
  <c r="U653" i="12" s="1"/>
  <c r="T654" i="12"/>
  <c r="U654" i="12" s="1"/>
  <c r="T655" i="12"/>
  <c r="U655" i="12" s="1"/>
  <c r="T656" i="12"/>
  <c r="U656" i="12" s="1"/>
  <c r="T657" i="12"/>
  <c r="U657" i="12" s="1"/>
  <c r="T658" i="12"/>
  <c r="U658" i="12" s="1"/>
  <c r="T659" i="12"/>
  <c r="U659" i="12" s="1"/>
  <c r="T660" i="12"/>
  <c r="U660" i="12" s="1"/>
  <c r="T661" i="12"/>
  <c r="U661" i="12" s="1"/>
  <c r="T662" i="12"/>
  <c r="U662" i="12" s="1"/>
  <c r="T663" i="12"/>
  <c r="U663" i="12" s="1"/>
  <c r="T664" i="12"/>
  <c r="U664" i="12" s="1"/>
  <c r="T665" i="12"/>
  <c r="U665" i="12" s="1"/>
  <c r="T666" i="12"/>
  <c r="U666" i="12" s="1"/>
  <c r="T667" i="12"/>
  <c r="U667" i="12" s="1"/>
  <c r="T668" i="12"/>
  <c r="U668" i="12" s="1"/>
  <c r="T669" i="12"/>
  <c r="U669" i="12" s="1"/>
  <c r="T670" i="12"/>
  <c r="U670" i="12" s="1"/>
  <c r="T671" i="12"/>
  <c r="U671" i="12" s="1"/>
  <c r="T672" i="12"/>
  <c r="U672" i="12" s="1"/>
  <c r="T673" i="12"/>
  <c r="U673" i="12" s="1"/>
  <c r="T674" i="12"/>
  <c r="U674" i="12" s="1"/>
  <c r="T675" i="12"/>
  <c r="U675" i="12" s="1"/>
  <c r="T676" i="12"/>
  <c r="U676" i="12" s="1"/>
  <c r="T677" i="12"/>
  <c r="U677" i="12" s="1"/>
  <c r="T678" i="12"/>
  <c r="U678" i="12" s="1"/>
  <c r="T679" i="12"/>
  <c r="U679" i="12" s="1"/>
  <c r="T680" i="12"/>
  <c r="U680" i="12" s="1"/>
  <c r="T681" i="12"/>
  <c r="U681" i="12" s="1"/>
  <c r="T682" i="12"/>
  <c r="U682" i="12" s="1"/>
  <c r="T683" i="12"/>
  <c r="U683" i="12" s="1"/>
  <c r="T684" i="12"/>
  <c r="U684" i="12" s="1"/>
  <c r="T685" i="12"/>
  <c r="U685" i="12" s="1"/>
  <c r="T686" i="12"/>
  <c r="U686" i="12" s="1"/>
  <c r="T687" i="12"/>
  <c r="U687" i="12" s="1"/>
  <c r="T688" i="12"/>
  <c r="U688" i="12" s="1"/>
  <c r="T689" i="12"/>
  <c r="U689" i="12" s="1"/>
  <c r="T690" i="12"/>
  <c r="U690" i="12" s="1"/>
  <c r="T691" i="12"/>
  <c r="U691" i="12" s="1"/>
  <c r="T692" i="12"/>
  <c r="U692" i="12" s="1"/>
  <c r="T693" i="12"/>
  <c r="U693" i="12" s="1"/>
  <c r="T694" i="12"/>
  <c r="U694" i="12" s="1"/>
  <c r="T695" i="12"/>
  <c r="U695" i="12" s="1"/>
  <c r="T696" i="12"/>
  <c r="U696" i="12" s="1"/>
  <c r="T697" i="12"/>
  <c r="U697" i="12" s="1"/>
  <c r="T698" i="12"/>
  <c r="U698" i="12" s="1"/>
  <c r="T699" i="12"/>
  <c r="U699" i="12" s="1"/>
  <c r="T700" i="12"/>
  <c r="U700" i="12" s="1"/>
  <c r="T701" i="12"/>
  <c r="U701" i="12" s="1"/>
  <c r="T702" i="12"/>
  <c r="U702" i="12" s="1"/>
  <c r="T703" i="12"/>
  <c r="U703" i="12" s="1"/>
  <c r="T704" i="12"/>
  <c r="U704" i="12" s="1"/>
  <c r="T705" i="12"/>
  <c r="U705" i="12" s="1"/>
  <c r="T706" i="12"/>
  <c r="U706" i="12" s="1"/>
  <c r="T707" i="12"/>
  <c r="U707" i="12" s="1"/>
  <c r="T708" i="12"/>
  <c r="U708" i="12" s="1"/>
  <c r="T709" i="12"/>
  <c r="U709" i="12" s="1"/>
  <c r="T710" i="12"/>
  <c r="U710" i="12" s="1"/>
  <c r="T711" i="12"/>
  <c r="U711" i="12" s="1"/>
  <c r="T712" i="12"/>
  <c r="U712" i="12" s="1"/>
  <c r="T713" i="12"/>
  <c r="U713" i="12" s="1"/>
  <c r="T714" i="12"/>
  <c r="U714" i="12" s="1"/>
  <c r="T715" i="12"/>
  <c r="U715" i="12" s="1"/>
  <c r="T716" i="12"/>
  <c r="U716" i="12" s="1"/>
  <c r="T717" i="12"/>
  <c r="U717" i="12" s="1"/>
  <c r="T718" i="12"/>
  <c r="U718" i="12" s="1"/>
  <c r="T719" i="12"/>
  <c r="U719" i="12" s="1"/>
  <c r="T720" i="12"/>
  <c r="U720" i="12" s="1"/>
  <c r="T721" i="12"/>
  <c r="U721" i="12" s="1"/>
  <c r="T722" i="12"/>
  <c r="U722" i="12" s="1"/>
  <c r="T723" i="12"/>
  <c r="U723" i="12" s="1"/>
  <c r="T724" i="12"/>
  <c r="U724" i="12" s="1"/>
  <c r="T725" i="12"/>
  <c r="U725" i="12" s="1"/>
  <c r="T726" i="12"/>
  <c r="U726" i="12" s="1"/>
  <c r="T727" i="12"/>
  <c r="U727" i="12" s="1"/>
  <c r="T728" i="12"/>
  <c r="U728" i="12" s="1"/>
  <c r="T729" i="12"/>
  <c r="U729" i="12" s="1"/>
  <c r="T730" i="12"/>
  <c r="U730" i="12" s="1"/>
  <c r="T731" i="12"/>
  <c r="U731" i="12" s="1"/>
  <c r="T732" i="12"/>
  <c r="U732" i="12" s="1"/>
  <c r="T733" i="12"/>
  <c r="U733" i="12" s="1"/>
  <c r="T734" i="12"/>
  <c r="U734" i="12" s="1"/>
  <c r="T735" i="12"/>
  <c r="U735" i="12" s="1"/>
  <c r="T736" i="12"/>
  <c r="U736" i="12" s="1"/>
  <c r="T737" i="12"/>
  <c r="U737" i="12" s="1"/>
  <c r="T738" i="12"/>
  <c r="U738" i="12" s="1"/>
  <c r="T739" i="12"/>
  <c r="U739" i="12" s="1"/>
  <c r="T740" i="12"/>
  <c r="U740" i="12" s="1"/>
  <c r="T741" i="12"/>
  <c r="U741" i="12" s="1"/>
  <c r="T742" i="12"/>
  <c r="U742" i="12" s="1"/>
  <c r="T743" i="12"/>
  <c r="U743" i="12" s="1"/>
  <c r="T744" i="12"/>
  <c r="U744" i="12" s="1"/>
  <c r="T745" i="12"/>
  <c r="U745" i="12" s="1"/>
  <c r="T746" i="12"/>
  <c r="U746" i="12" s="1"/>
  <c r="T747" i="12"/>
  <c r="U747" i="12" s="1"/>
  <c r="T748" i="12"/>
  <c r="U748" i="12" s="1"/>
  <c r="T749" i="12"/>
  <c r="U749" i="12" s="1"/>
  <c r="T750" i="12"/>
  <c r="U750" i="12" s="1"/>
  <c r="T751" i="12"/>
  <c r="U751" i="12" s="1"/>
  <c r="T752" i="12"/>
  <c r="U752" i="12" s="1"/>
  <c r="T753" i="12"/>
  <c r="U753" i="12" s="1"/>
  <c r="T754" i="12"/>
  <c r="U754" i="12" s="1"/>
  <c r="T755" i="12"/>
  <c r="U755" i="12" s="1"/>
  <c r="T756" i="12"/>
  <c r="U756" i="12" s="1"/>
  <c r="T757" i="12"/>
  <c r="U757" i="12" s="1"/>
  <c r="T758" i="12"/>
  <c r="U758" i="12" s="1"/>
  <c r="T759" i="12"/>
  <c r="U759" i="12" s="1"/>
  <c r="T760" i="12"/>
  <c r="U760" i="12" s="1"/>
  <c r="T761" i="12"/>
  <c r="U761" i="12" s="1"/>
  <c r="T762" i="12"/>
  <c r="U762" i="12" s="1"/>
  <c r="T763" i="12"/>
  <c r="U763" i="12" s="1"/>
  <c r="T764" i="12"/>
  <c r="U764" i="12" s="1"/>
  <c r="T765" i="12"/>
  <c r="U765" i="12" s="1"/>
  <c r="T766" i="12"/>
  <c r="U766" i="12" s="1"/>
  <c r="T767" i="12"/>
  <c r="U767" i="12" s="1"/>
  <c r="T768" i="12"/>
  <c r="U768" i="12" s="1"/>
  <c r="T769" i="12"/>
  <c r="U769" i="12" s="1"/>
  <c r="T770" i="12"/>
  <c r="U770" i="12" s="1"/>
  <c r="T771" i="12"/>
  <c r="U771" i="12" s="1"/>
  <c r="T772" i="12"/>
  <c r="U772" i="12" s="1"/>
  <c r="T773" i="12"/>
  <c r="U773" i="12" s="1"/>
  <c r="T774" i="12"/>
  <c r="U774" i="12" s="1"/>
  <c r="T775" i="12"/>
  <c r="U775" i="12" s="1"/>
  <c r="T776" i="12"/>
  <c r="U776" i="12" s="1"/>
  <c r="T777" i="12"/>
  <c r="U777" i="12" s="1"/>
  <c r="T778" i="12"/>
  <c r="U778" i="12" s="1"/>
  <c r="T779" i="12"/>
  <c r="U779" i="12" s="1"/>
  <c r="T780" i="12"/>
  <c r="U780" i="12" s="1"/>
  <c r="T781" i="12"/>
  <c r="U781" i="12" s="1"/>
  <c r="T782" i="12"/>
  <c r="U782" i="12" s="1"/>
  <c r="T783" i="12"/>
  <c r="U783" i="12" s="1"/>
  <c r="T784" i="12"/>
  <c r="U784" i="12" s="1"/>
  <c r="T785" i="12"/>
  <c r="U785" i="12" s="1"/>
  <c r="T786" i="12"/>
  <c r="U786" i="12" s="1"/>
  <c r="T787" i="12"/>
  <c r="U787" i="12" s="1"/>
  <c r="T788" i="12"/>
  <c r="U788" i="12" s="1"/>
  <c r="T789" i="12"/>
  <c r="U789" i="12" s="1"/>
  <c r="T790" i="12"/>
  <c r="U790" i="12" s="1"/>
  <c r="T791" i="12"/>
  <c r="U791" i="12" s="1"/>
  <c r="T792" i="12"/>
  <c r="U792" i="12" s="1"/>
  <c r="T793" i="12"/>
  <c r="U793" i="12" s="1"/>
  <c r="T794" i="12"/>
  <c r="U794" i="12" s="1"/>
  <c r="T795" i="12"/>
  <c r="U795" i="12" s="1"/>
  <c r="T796" i="12"/>
  <c r="U796" i="12" s="1"/>
  <c r="T797" i="12"/>
  <c r="U797" i="12" s="1"/>
  <c r="T798" i="12"/>
  <c r="U798" i="12" s="1"/>
  <c r="T799" i="12"/>
  <c r="U799" i="12" s="1"/>
  <c r="T800" i="12"/>
  <c r="U800" i="12" s="1"/>
  <c r="T801" i="12"/>
  <c r="U801" i="12" s="1"/>
  <c r="T802" i="12"/>
  <c r="U802" i="12" s="1"/>
  <c r="T803" i="12"/>
  <c r="U803" i="12" s="1"/>
  <c r="T804" i="12"/>
  <c r="U804" i="12" s="1"/>
  <c r="T805" i="12"/>
  <c r="U805" i="12" s="1"/>
  <c r="T806" i="12"/>
  <c r="U806" i="12" s="1"/>
  <c r="T807" i="12"/>
  <c r="U807" i="12" s="1"/>
  <c r="T808" i="12"/>
  <c r="U808" i="12" s="1"/>
  <c r="T809" i="12"/>
  <c r="U809" i="12" s="1"/>
  <c r="T810" i="12"/>
  <c r="U810" i="12" s="1"/>
  <c r="T811" i="12"/>
  <c r="U811" i="12" s="1"/>
  <c r="T812" i="12"/>
  <c r="U812" i="12" s="1"/>
  <c r="T813" i="12"/>
  <c r="U813" i="12" s="1"/>
  <c r="T814" i="12"/>
  <c r="U814" i="12" s="1"/>
  <c r="T815" i="12"/>
  <c r="U815" i="12" s="1"/>
  <c r="T816" i="12"/>
  <c r="U816" i="12" s="1"/>
  <c r="T817" i="12"/>
  <c r="U817" i="12" s="1"/>
  <c r="T818" i="12"/>
  <c r="U818" i="12" s="1"/>
  <c r="T819" i="12"/>
  <c r="U819" i="12" s="1"/>
  <c r="T820" i="12"/>
  <c r="U820" i="12" s="1"/>
  <c r="T821" i="12"/>
  <c r="U821" i="12" s="1"/>
  <c r="T822" i="12"/>
  <c r="U822" i="12" s="1"/>
  <c r="T823" i="12"/>
  <c r="U823" i="12" s="1"/>
  <c r="T824" i="12"/>
  <c r="U824" i="12" s="1"/>
  <c r="T825" i="12"/>
  <c r="U825" i="12" s="1"/>
  <c r="T826" i="12"/>
  <c r="U826" i="12" s="1"/>
  <c r="T827" i="12"/>
  <c r="U827" i="12" s="1"/>
  <c r="T828" i="12"/>
  <c r="U828" i="12" s="1"/>
  <c r="T829" i="12"/>
  <c r="U829" i="12" s="1"/>
  <c r="T830" i="12"/>
  <c r="U830" i="12" s="1"/>
  <c r="T831" i="12"/>
  <c r="U831" i="12" s="1"/>
  <c r="T832" i="12"/>
  <c r="U832" i="12" s="1"/>
  <c r="T833" i="12"/>
  <c r="U833" i="12" s="1"/>
  <c r="T834" i="12"/>
  <c r="U834" i="12" s="1"/>
  <c r="T835" i="12"/>
  <c r="U835" i="12" s="1"/>
  <c r="T836" i="12"/>
  <c r="U836" i="12" s="1"/>
  <c r="T837" i="12"/>
  <c r="U837" i="12" s="1"/>
  <c r="T838" i="12"/>
  <c r="U838" i="12" s="1"/>
  <c r="T839" i="12"/>
  <c r="U839" i="12" s="1"/>
  <c r="T840" i="12"/>
  <c r="U840" i="12" s="1"/>
  <c r="T841" i="12"/>
  <c r="U841" i="12" s="1"/>
  <c r="T842" i="12"/>
  <c r="U842" i="12" s="1"/>
  <c r="T843" i="12"/>
  <c r="U843" i="12" s="1"/>
  <c r="T844" i="12"/>
  <c r="U844" i="12" s="1"/>
  <c r="T845" i="12"/>
  <c r="U845" i="12" s="1"/>
  <c r="T846" i="12"/>
  <c r="U846" i="12" s="1"/>
  <c r="T847" i="12"/>
  <c r="U847" i="12" s="1"/>
  <c r="T848" i="12"/>
  <c r="U848" i="12" s="1"/>
  <c r="T849" i="12"/>
  <c r="U849" i="12" s="1"/>
  <c r="T850" i="12"/>
  <c r="U850" i="12" s="1"/>
  <c r="T851" i="12"/>
  <c r="U851" i="12" s="1"/>
  <c r="T852" i="12"/>
  <c r="U852" i="12" s="1"/>
  <c r="T853" i="12"/>
  <c r="U853" i="12" s="1"/>
  <c r="T854" i="12"/>
  <c r="U854" i="12" s="1"/>
  <c r="T855" i="12"/>
  <c r="U855" i="12" s="1"/>
  <c r="T856" i="12"/>
  <c r="U856" i="12" s="1"/>
  <c r="T857" i="12"/>
  <c r="U857" i="12" s="1"/>
  <c r="T858" i="12"/>
  <c r="U858" i="12" s="1"/>
  <c r="T859" i="12"/>
  <c r="U859" i="12" s="1"/>
  <c r="T860" i="12"/>
  <c r="U860" i="12" s="1"/>
  <c r="T861" i="12"/>
  <c r="U861" i="12" s="1"/>
  <c r="T862" i="12"/>
  <c r="U862" i="12" s="1"/>
  <c r="T863" i="12"/>
  <c r="U863" i="12" s="1"/>
  <c r="T864" i="12"/>
  <c r="U864" i="12" s="1"/>
  <c r="T865" i="12"/>
  <c r="U865" i="12" s="1"/>
  <c r="T866" i="12"/>
  <c r="U866" i="12" s="1"/>
  <c r="T867" i="12"/>
  <c r="U867" i="12" s="1"/>
  <c r="T868" i="12"/>
  <c r="U868" i="12" s="1"/>
  <c r="T869" i="12"/>
  <c r="U869" i="12" s="1"/>
  <c r="T870" i="12"/>
  <c r="U870" i="12" s="1"/>
  <c r="T871" i="12"/>
  <c r="U871" i="12" s="1"/>
  <c r="T872" i="12"/>
  <c r="U872" i="12" s="1"/>
  <c r="T873" i="12"/>
  <c r="U873" i="12" s="1"/>
  <c r="T874" i="12"/>
  <c r="U874" i="12" s="1"/>
  <c r="T875" i="12"/>
  <c r="U875" i="12" s="1"/>
  <c r="T876" i="12"/>
  <c r="U876" i="12" s="1"/>
  <c r="T877" i="12"/>
  <c r="U877" i="12" s="1"/>
  <c r="T878" i="12"/>
  <c r="U878" i="12" s="1"/>
  <c r="T879" i="12"/>
  <c r="U879" i="12" s="1"/>
  <c r="T880" i="12"/>
  <c r="U880" i="12" s="1"/>
  <c r="T881" i="12"/>
  <c r="U881" i="12" s="1"/>
  <c r="T882" i="12"/>
  <c r="U882" i="12" s="1"/>
  <c r="T883" i="12"/>
  <c r="U883" i="12" s="1"/>
  <c r="T884" i="12"/>
  <c r="U884" i="12" s="1"/>
  <c r="T885" i="12"/>
  <c r="U885" i="12" s="1"/>
  <c r="T886" i="12"/>
  <c r="U886" i="12" s="1"/>
  <c r="T887" i="12"/>
  <c r="U887" i="12" s="1"/>
  <c r="T888" i="12"/>
  <c r="U888" i="12" s="1"/>
  <c r="T889" i="12"/>
  <c r="U889" i="12" s="1"/>
  <c r="T890" i="12"/>
  <c r="U890" i="12" s="1"/>
  <c r="T891" i="12"/>
  <c r="U891" i="12" s="1"/>
  <c r="T892" i="12"/>
  <c r="U892" i="12" s="1"/>
  <c r="T893" i="12"/>
  <c r="U893" i="12" s="1"/>
  <c r="T894" i="12"/>
  <c r="U894" i="12" s="1"/>
  <c r="T895" i="12"/>
  <c r="U895" i="12" s="1"/>
  <c r="T896" i="12"/>
  <c r="U896" i="12" s="1"/>
  <c r="T897" i="12"/>
  <c r="U897" i="12" s="1"/>
  <c r="T898" i="12"/>
  <c r="U898" i="12" s="1"/>
  <c r="T899" i="12"/>
  <c r="U899" i="12" s="1"/>
  <c r="T900" i="12"/>
  <c r="U900" i="12" s="1"/>
  <c r="T901" i="12"/>
  <c r="U901" i="12" s="1"/>
  <c r="T902" i="12"/>
  <c r="U902" i="12" s="1"/>
  <c r="T903" i="12"/>
  <c r="U903" i="12" s="1"/>
  <c r="T904" i="12"/>
  <c r="U904" i="12" s="1"/>
  <c r="T905" i="12"/>
  <c r="U905" i="12" s="1"/>
  <c r="T906" i="12"/>
  <c r="U906" i="12" s="1"/>
  <c r="T907" i="12"/>
  <c r="U907" i="12" s="1"/>
  <c r="T908" i="12"/>
  <c r="U908" i="12" s="1"/>
  <c r="T909" i="12"/>
  <c r="U909" i="12" s="1"/>
  <c r="T910" i="12"/>
  <c r="U910" i="12" s="1"/>
  <c r="T911" i="12"/>
  <c r="U911" i="12" s="1"/>
  <c r="T912" i="12"/>
  <c r="U912" i="12" s="1"/>
  <c r="T913" i="12"/>
  <c r="U913" i="12" s="1"/>
  <c r="T914" i="12"/>
  <c r="U914" i="12" s="1"/>
  <c r="T915" i="12"/>
  <c r="U915" i="12" s="1"/>
  <c r="T916" i="12"/>
  <c r="U916" i="12" s="1"/>
  <c r="T917" i="12"/>
  <c r="U917" i="12" s="1"/>
  <c r="T918" i="12"/>
  <c r="U918" i="12" s="1"/>
  <c r="T919" i="12"/>
  <c r="U919" i="12" s="1"/>
  <c r="T920" i="12"/>
  <c r="U920" i="12" s="1"/>
  <c r="T921" i="12"/>
  <c r="U921" i="12" s="1"/>
  <c r="T922" i="12"/>
  <c r="U922" i="12" s="1"/>
  <c r="T923" i="12"/>
  <c r="U923" i="12" s="1"/>
  <c r="T924" i="12"/>
  <c r="U924" i="12" s="1"/>
  <c r="T925" i="12"/>
  <c r="U925" i="12" s="1"/>
  <c r="T926" i="12"/>
  <c r="U926" i="12" s="1"/>
  <c r="T927" i="12"/>
  <c r="U927" i="12" s="1"/>
  <c r="T928" i="12"/>
  <c r="U928" i="12" s="1"/>
  <c r="T929" i="12"/>
  <c r="U929" i="12" s="1"/>
  <c r="T930" i="12"/>
  <c r="U930" i="12" s="1"/>
  <c r="T931" i="12"/>
  <c r="U931" i="12" s="1"/>
  <c r="T932" i="12"/>
  <c r="U932" i="12" s="1"/>
  <c r="T933" i="12"/>
  <c r="U933" i="12" s="1"/>
  <c r="T934" i="12"/>
  <c r="U934" i="12" s="1"/>
  <c r="T935" i="12"/>
  <c r="U935" i="12" s="1"/>
  <c r="T936" i="12"/>
  <c r="U936" i="12" s="1"/>
  <c r="T937" i="12"/>
  <c r="U937" i="12" s="1"/>
  <c r="T938" i="12"/>
  <c r="U938" i="12" s="1"/>
  <c r="T939" i="12"/>
  <c r="U939" i="12" s="1"/>
  <c r="T940" i="12"/>
  <c r="U940" i="12" s="1"/>
  <c r="T941" i="12"/>
  <c r="U941" i="12" s="1"/>
  <c r="T942" i="12"/>
  <c r="U942" i="12" s="1"/>
  <c r="T943" i="12"/>
  <c r="U943" i="12" s="1"/>
  <c r="T944" i="12"/>
  <c r="U944" i="12" s="1"/>
  <c r="T945" i="12"/>
  <c r="U945" i="12" s="1"/>
  <c r="T946" i="12"/>
  <c r="U946" i="12" s="1"/>
  <c r="T947" i="12"/>
  <c r="U947" i="12" s="1"/>
  <c r="T948" i="12"/>
  <c r="U948" i="12" s="1"/>
  <c r="T949" i="12"/>
  <c r="U949" i="12" s="1"/>
  <c r="T950" i="12"/>
  <c r="U950" i="12" s="1"/>
  <c r="T951" i="12"/>
  <c r="U951" i="12" s="1"/>
  <c r="T952" i="12"/>
  <c r="U952" i="12" s="1"/>
  <c r="T953" i="12"/>
  <c r="U953" i="12" s="1"/>
  <c r="T954" i="12"/>
  <c r="U954" i="12"/>
  <c r="T955" i="12"/>
  <c r="U955" i="12" s="1"/>
  <c r="T956" i="12"/>
  <c r="U956" i="12" s="1"/>
  <c r="T957" i="12"/>
  <c r="U957" i="12"/>
  <c r="T958" i="12"/>
  <c r="U958" i="12"/>
  <c r="T959" i="12"/>
  <c r="U959" i="12" s="1"/>
  <c r="T960" i="12"/>
  <c r="U960" i="12" s="1"/>
  <c r="R1" i="17"/>
  <c r="F1" i="14" l="1"/>
  <c r="C1" i="14"/>
  <c r="N6" i="3"/>
  <c r="M6" i="3"/>
  <c r="K6" i="3"/>
  <c r="J6" i="3"/>
  <c r="Z6" i="3" s="1"/>
  <c r="E6" i="3"/>
  <c r="D6" i="3"/>
  <c r="C6" i="3"/>
  <c r="B6" i="3"/>
  <c r="A6"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N10" i="3"/>
  <c r="M10" i="3"/>
  <c r="K10" i="3"/>
  <c r="J10" i="3"/>
  <c r="F10" i="3"/>
  <c r="D10" i="3"/>
  <c r="C10" i="3"/>
  <c r="B10" i="3"/>
  <c r="A10"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 r="N9" i="3"/>
  <c r="M9" i="3"/>
  <c r="K9" i="3"/>
  <c r="J9" i="3"/>
  <c r="F9" i="3"/>
  <c r="D9" i="3"/>
  <c r="C9" i="3"/>
  <c r="B9" i="3"/>
  <c r="A9" i="3"/>
  <c r="AS8" i="3"/>
  <c r="AR8" i="3"/>
  <c r="AQ8" i="3"/>
  <c r="AP8" i="3"/>
  <c r="AO8" i="3"/>
  <c r="AN8" i="3"/>
  <c r="AM8" i="3"/>
  <c r="AL8" i="3"/>
  <c r="AK8" i="3"/>
  <c r="AJ8" i="3"/>
  <c r="AI8" i="3"/>
  <c r="AH8" i="3"/>
  <c r="AG8" i="3"/>
  <c r="AF8" i="3"/>
  <c r="AE8" i="3"/>
  <c r="AD8" i="3"/>
  <c r="AC8" i="3"/>
  <c r="AB8" i="3"/>
  <c r="AA8" i="3"/>
  <c r="Z8" i="3"/>
  <c r="Y8" i="3"/>
  <c r="X8" i="3"/>
  <c r="W8" i="3"/>
  <c r="V8" i="3"/>
  <c r="U8" i="3"/>
  <c r="T8" i="3"/>
  <c r="S8" i="3"/>
  <c r="R8" i="3"/>
  <c r="Q8" i="3"/>
  <c r="K8" i="3"/>
  <c r="J8" i="3"/>
  <c r="F8" i="3"/>
  <c r="D8" i="3"/>
  <c r="C8" i="3"/>
  <c r="B8" i="3"/>
  <c r="A8" i="3"/>
  <c r="AS7" i="3"/>
  <c r="AR7" i="3"/>
  <c r="AQ7" i="3"/>
  <c r="AP7" i="3"/>
  <c r="AO7" i="3"/>
  <c r="AN7" i="3"/>
  <c r="AM7" i="3"/>
  <c r="AL7" i="3"/>
  <c r="AK7" i="3"/>
  <c r="AJ7" i="3"/>
  <c r="AI7" i="3"/>
  <c r="AH7" i="3"/>
  <c r="AG7" i="3"/>
  <c r="AF7" i="3"/>
  <c r="AE7" i="3"/>
  <c r="AD7" i="3"/>
  <c r="AC7" i="3"/>
  <c r="AB7" i="3"/>
  <c r="AA7" i="3"/>
  <c r="Z7" i="3"/>
  <c r="Y7" i="3"/>
  <c r="X7" i="3"/>
  <c r="W7" i="3"/>
  <c r="V7" i="3"/>
  <c r="U7" i="3"/>
  <c r="T7" i="3"/>
  <c r="S7" i="3"/>
  <c r="R7" i="3"/>
  <c r="Q7" i="3"/>
  <c r="N7" i="3"/>
  <c r="M7" i="3"/>
  <c r="K7" i="3"/>
  <c r="J7" i="3"/>
  <c r="F7" i="3"/>
  <c r="E7" i="3"/>
  <c r="D7" i="3"/>
  <c r="C7" i="3"/>
  <c r="B7" i="3"/>
  <c r="A7" i="3"/>
  <c r="AS6" i="3"/>
  <c r="AR6" i="3"/>
  <c r="AQ6" i="3"/>
  <c r="AP6" i="3"/>
  <c r="AO6" i="3"/>
  <c r="AN6" i="3"/>
  <c r="AM6" i="3"/>
  <c r="AL6" i="3"/>
  <c r="AK6" i="3"/>
  <c r="AJ6" i="3"/>
  <c r="AI6" i="3"/>
  <c r="AH6" i="3"/>
  <c r="AG6" i="3"/>
  <c r="AF6" i="3"/>
  <c r="AE6" i="3"/>
  <c r="AD6" i="3"/>
  <c r="AC6" i="3"/>
  <c r="AB6" i="3"/>
  <c r="AA6" i="3"/>
  <c r="X6" i="3"/>
  <c r="V6" i="3"/>
  <c r="U6" i="3"/>
  <c r="T6" i="3"/>
  <c r="S6" i="3"/>
  <c r="R6" i="3"/>
  <c r="Q6" i="3"/>
  <c r="AS5" i="3"/>
  <c r="AR5" i="3"/>
  <c r="AQ5" i="3"/>
  <c r="AP5" i="3"/>
  <c r="AO5" i="3"/>
  <c r="AN5" i="3"/>
  <c r="AM5" i="3"/>
  <c r="AL5" i="3"/>
  <c r="AK5" i="3"/>
  <c r="AJ5" i="3"/>
  <c r="AI5" i="3"/>
  <c r="AH5" i="3"/>
  <c r="AG5" i="3"/>
  <c r="AF5" i="3"/>
  <c r="Z5" i="3"/>
  <c r="Y5" i="3"/>
  <c r="X5" i="3"/>
  <c r="W5" i="3"/>
  <c r="V5" i="3"/>
  <c r="S5" i="3"/>
  <c r="R5" i="3"/>
  <c r="N5" i="3"/>
  <c r="M5" i="3"/>
  <c r="K5" i="3"/>
  <c r="J5" i="3"/>
  <c r="F5" i="3"/>
  <c r="E5" i="3"/>
  <c r="D5" i="3"/>
  <c r="C5" i="3"/>
  <c r="B5" i="3"/>
  <c r="AB20" i="18"/>
  <c r="AB19" i="18"/>
  <c r="AB18" i="18"/>
  <c r="AB17" i="18"/>
  <c r="AB16" i="18"/>
  <c r="AB15" i="18"/>
  <c r="AB14" i="18"/>
  <c r="AB13" i="18"/>
  <c r="AB12" i="18"/>
  <c r="AB11" i="18"/>
  <c r="AB10" i="18"/>
  <c r="AB9" i="18"/>
  <c r="F17" i="17"/>
  <c r="E17" i="17"/>
  <c r="F16" i="17"/>
  <c r="E16" i="17"/>
  <c r="F10" i="17"/>
  <c r="E10" i="17"/>
  <c r="F9" i="17"/>
  <c r="F21" i="17" s="1"/>
  <c r="E9" i="17"/>
  <c r="E21" i="17" s="1"/>
  <c r="F6" i="17"/>
  <c r="E6" i="17"/>
  <c r="F5" i="17"/>
  <c r="E5" i="17"/>
  <c r="F4" i="17"/>
  <c r="E4" i="17"/>
  <c r="G20" i="14" l="1"/>
  <c r="G13" i="14"/>
  <c r="G24" i="14"/>
  <c r="F18" i="14"/>
  <c r="F20" i="14"/>
  <c r="F13" i="14"/>
  <c r="F24" i="14"/>
  <c r="G12" i="14"/>
  <c r="G18" i="14"/>
  <c r="G11" i="14"/>
  <c r="E18" i="17"/>
  <c r="F18" i="17"/>
  <c r="G19" i="14"/>
  <c r="F11" i="14"/>
  <c r="F19" i="14"/>
  <c r="F12" i="14"/>
  <c r="W6" i="3"/>
  <c r="Y6" i="3"/>
  <c r="O19" i="14" l="1"/>
  <c r="P18" i="14"/>
  <c r="O13" i="14"/>
  <c r="P13" i="14"/>
  <c r="P24" i="14"/>
  <c r="O24" i="14"/>
  <c r="P20" i="14"/>
  <c r="O20" i="14"/>
  <c r="O18" i="14"/>
  <c r="O21" i="14" s="1"/>
  <c r="P12" i="14"/>
  <c r="P11" i="14"/>
  <c r="O12" i="14"/>
  <c r="P19" i="14"/>
  <c r="O11" i="14"/>
  <c r="P21" i="14" l="1"/>
  <c r="O14" i="14"/>
  <c r="P14" i="14"/>
  <c r="B25" i="16"/>
  <c r="G30" i="16" s="1"/>
  <c r="G31" i="16" s="1"/>
  <c r="L21" i="16"/>
  <c r="M21" i="16"/>
  <c r="N21" i="16"/>
  <c r="O21" i="16"/>
  <c r="P21" i="16"/>
  <c r="Q21" i="16"/>
  <c r="R21" i="16"/>
  <c r="S21" i="16"/>
  <c r="T21" i="16"/>
  <c r="U21" i="16"/>
  <c r="V21" i="16"/>
  <c r="W21" i="16"/>
  <c r="X21" i="16"/>
  <c r="Y21" i="16"/>
  <c r="Z21" i="16"/>
  <c r="AA21" i="16"/>
  <c r="AB21" i="16"/>
  <c r="AC21" i="16"/>
  <c r="AD21" i="16"/>
  <c r="AE21" i="16"/>
  <c r="AF21" i="16"/>
  <c r="AG21" i="16"/>
  <c r="AH21" i="16"/>
  <c r="AI21" i="16"/>
  <c r="AJ21" i="16"/>
  <c r="AK21" i="16"/>
  <c r="AL21" i="16"/>
  <c r="AM21" i="16"/>
  <c r="AN21" i="16"/>
  <c r="K21" i="16"/>
  <c r="AM24" i="16"/>
  <c r="AN24" i="16"/>
  <c r="L22" i="16"/>
  <c r="C25" i="16"/>
  <c r="G5" i="14"/>
  <c r="G6" i="14"/>
  <c r="G4" i="14"/>
  <c r="F5" i="14"/>
  <c r="F6" i="14"/>
  <c r="F4" i="14"/>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AL24" i="16"/>
  <c r="AK24" i="16"/>
  <c r="AJ24" i="16"/>
  <c r="AI24" i="16"/>
  <c r="AH24" i="16"/>
  <c r="AG24" i="16"/>
  <c r="AF24" i="16"/>
  <c r="AE24" i="16"/>
  <c r="AD24" i="16"/>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D25" i="16" s="1"/>
  <c r="AL22" i="16"/>
  <c r="AK22" i="16"/>
  <c r="AJ22" i="16"/>
  <c r="AI22" i="16"/>
  <c r="AH22" i="16"/>
  <c r="AG22" i="16"/>
  <c r="AF22" i="16"/>
  <c r="AE22" i="16"/>
  <c r="AD22" i="16"/>
  <c r="AC22" i="16"/>
  <c r="AB22" i="16"/>
  <c r="AA22" i="16"/>
  <c r="Z22" i="16"/>
  <c r="Y22" i="16"/>
  <c r="X22" i="16"/>
  <c r="W22" i="16"/>
  <c r="V22" i="16"/>
  <c r="U22" i="16"/>
  <c r="T22" i="16"/>
  <c r="AL20" i="16"/>
  <c r="AK20" i="16"/>
  <c r="AJ20" i="16"/>
  <c r="AI20" i="16"/>
  <c r="AH20" i="16"/>
  <c r="AG20" i="16"/>
  <c r="AF20" i="16"/>
  <c r="AE20" i="16"/>
  <c r="AD20" i="16"/>
  <c r="AC20" i="16"/>
  <c r="AB20" i="16"/>
  <c r="AA20" i="16"/>
  <c r="Z20" i="16"/>
  <c r="Y20" i="16"/>
  <c r="X20" i="16"/>
  <c r="W20" i="16"/>
  <c r="V20" i="16"/>
  <c r="U20" i="16"/>
  <c r="T20" i="16"/>
  <c r="S20" i="16"/>
  <c r="R20" i="16"/>
  <c r="Q20" i="16"/>
  <c r="P20" i="16"/>
  <c r="O20" i="16"/>
  <c r="N20" i="16"/>
  <c r="M20" i="16"/>
  <c r="D20" i="16"/>
  <c r="E22" i="16" s="1"/>
  <c r="I30" i="16" l="1"/>
  <c r="I31" i="16" s="1"/>
  <c r="AD30" i="16"/>
  <c r="AD31" i="16" s="1"/>
  <c r="N30" i="16"/>
  <c r="N31" i="16" s="1"/>
  <c r="AB30" i="16"/>
  <c r="AB31" i="16" s="1"/>
  <c r="U30" i="16"/>
  <c r="U31" i="16" s="1"/>
  <c r="AC30" i="16"/>
  <c r="AC31" i="16" s="1"/>
  <c r="R30" i="16"/>
  <c r="R31" i="16" s="1"/>
  <c r="Q30" i="16"/>
  <c r="Q31" i="16" s="1"/>
  <c r="J30" i="16"/>
  <c r="J31" i="16" s="1"/>
  <c r="Y30" i="16"/>
  <c r="Y31" i="16" s="1"/>
  <c r="E30" i="16"/>
  <c r="E31" i="16" s="1"/>
  <c r="V30" i="16"/>
  <c r="V31" i="16" s="1"/>
  <c r="C30" i="16"/>
  <c r="C31" i="16" s="1"/>
  <c r="T30" i="16"/>
  <c r="T31" i="16" s="1"/>
  <c r="F30" i="16"/>
  <c r="F31" i="16" s="1"/>
  <c r="D30" i="16"/>
  <c r="D31" i="16" s="1"/>
  <c r="Z30" i="16"/>
  <c r="Z31" i="16" s="1"/>
  <c r="M30" i="16"/>
  <c r="M31" i="16" s="1"/>
  <c r="L30" i="16"/>
  <c r="L31" i="16" s="1"/>
  <c r="AA30" i="16"/>
  <c r="AA31" i="16" s="1"/>
  <c r="S30" i="16"/>
  <c r="S31" i="16" s="1"/>
  <c r="K30" i="16"/>
  <c r="K31" i="16" s="1"/>
  <c r="AF30" i="16"/>
  <c r="AF31" i="16" s="1"/>
  <c r="X30" i="16"/>
  <c r="X31" i="16" s="1"/>
  <c r="P30" i="16"/>
  <c r="P31" i="16" s="1"/>
  <c r="H30" i="16"/>
  <c r="H31" i="16" s="1"/>
  <c r="AE30" i="16"/>
  <c r="AE31" i="16" s="1"/>
  <c r="W30" i="16"/>
  <c r="W31" i="16" s="1"/>
  <c r="O30" i="16"/>
  <c r="O31" i="16" s="1"/>
  <c r="O5" i="14" l="1"/>
  <c r="O4" i="14"/>
  <c r="O6" i="14"/>
  <c r="P5" i="14"/>
  <c r="P6" i="14"/>
  <c r="P4" i="14"/>
  <c r="B20" i="13"/>
  <c r="B19" i="13"/>
  <c r="B5" i="13"/>
  <c r="B6" i="13"/>
  <c r="B4" i="13"/>
  <c r="T613" i="12"/>
  <c r="U613" i="12" s="1"/>
  <c r="T612" i="12"/>
  <c r="U612" i="12" s="1"/>
  <c r="T611" i="12"/>
  <c r="U611" i="12" s="1"/>
  <c r="T610" i="12"/>
  <c r="U610" i="12" s="1"/>
  <c r="T609" i="12"/>
  <c r="U609" i="12" s="1"/>
  <c r="T608" i="12"/>
  <c r="U608" i="12" s="1"/>
  <c r="T607" i="12"/>
  <c r="U607" i="12" s="1"/>
  <c r="T606" i="12"/>
  <c r="U606" i="12" s="1"/>
  <c r="T605" i="12"/>
  <c r="U605" i="12" s="1"/>
  <c r="T604" i="12"/>
  <c r="U604" i="12" s="1"/>
  <c r="T603" i="12"/>
  <c r="U603" i="12" s="1"/>
  <c r="T602" i="12"/>
  <c r="U602" i="12" s="1"/>
  <c r="T601" i="12"/>
  <c r="U601" i="12" s="1"/>
  <c r="T600" i="12"/>
  <c r="U600" i="12" s="1"/>
  <c r="T599" i="12"/>
  <c r="U599" i="12" s="1"/>
  <c r="T598" i="12"/>
  <c r="U598" i="12" s="1"/>
  <c r="T597" i="12"/>
  <c r="U597" i="12" s="1"/>
  <c r="T596" i="12"/>
  <c r="U596" i="12" s="1"/>
  <c r="T595" i="12"/>
  <c r="U595" i="12" s="1"/>
  <c r="T594" i="12"/>
  <c r="U594" i="12" s="1"/>
  <c r="T593" i="12"/>
  <c r="U593" i="12" s="1"/>
  <c r="T592" i="12"/>
  <c r="U592" i="12" s="1"/>
  <c r="T591" i="12"/>
  <c r="U591" i="12" s="1"/>
  <c r="T590" i="12"/>
  <c r="U590" i="12" s="1"/>
  <c r="T589" i="12"/>
  <c r="U589" i="12" s="1"/>
  <c r="T588" i="12"/>
  <c r="U588" i="12" s="1"/>
  <c r="T587" i="12"/>
  <c r="U587" i="12" s="1"/>
  <c r="T586" i="12"/>
  <c r="U586" i="12" s="1"/>
  <c r="T585" i="12"/>
  <c r="U585" i="12" s="1"/>
  <c r="T584" i="12"/>
  <c r="U584" i="12" s="1"/>
  <c r="T583" i="12"/>
  <c r="U583" i="12" s="1"/>
  <c r="T582" i="12"/>
  <c r="U582" i="12" s="1"/>
  <c r="T581" i="12"/>
  <c r="U581" i="12" s="1"/>
  <c r="T580" i="12"/>
  <c r="U580" i="12" s="1"/>
  <c r="T579" i="12"/>
  <c r="U579" i="12" s="1"/>
  <c r="T578" i="12"/>
  <c r="U578" i="12" s="1"/>
  <c r="T577" i="12"/>
  <c r="U577" i="12" s="1"/>
  <c r="T576" i="12"/>
  <c r="U576" i="12" s="1"/>
  <c r="T575" i="12"/>
  <c r="U575" i="12" s="1"/>
  <c r="T574" i="12"/>
  <c r="U574" i="12" s="1"/>
  <c r="T573" i="12"/>
  <c r="U573" i="12" s="1"/>
  <c r="T572" i="12"/>
  <c r="U572" i="12" s="1"/>
  <c r="T571" i="12"/>
  <c r="U571" i="12" s="1"/>
  <c r="T570" i="12"/>
  <c r="U570" i="12" s="1"/>
  <c r="T569" i="12"/>
  <c r="U569" i="12" s="1"/>
  <c r="T568" i="12"/>
  <c r="U568" i="12" s="1"/>
  <c r="T567" i="12"/>
  <c r="U567" i="12" s="1"/>
  <c r="T566" i="12"/>
  <c r="U566" i="12" s="1"/>
  <c r="T565" i="12"/>
  <c r="U565" i="12" s="1"/>
  <c r="T564" i="12"/>
  <c r="U564" i="12" s="1"/>
  <c r="T563" i="12"/>
  <c r="U563" i="12" s="1"/>
  <c r="T562" i="12"/>
  <c r="U562" i="12" s="1"/>
  <c r="T561" i="12"/>
  <c r="U561" i="12" s="1"/>
  <c r="T560" i="12"/>
  <c r="U560" i="12" s="1"/>
  <c r="T559" i="12"/>
  <c r="U559" i="12" s="1"/>
  <c r="T558" i="12"/>
  <c r="U558" i="12" s="1"/>
  <c r="T557" i="12"/>
  <c r="U557" i="12" s="1"/>
  <c r="T556" i="12"/>
  <c r="U556" i="12" s="1"/>
  <c r="T555" i="12"/>
  <c r="U555" i="12" s="1"/>
  <c r="T554" i="12"/>
  <c r="U554" i="12" s="1"/>
  <c r="T553" i="12"/>
  <c r="U553" i="12" s="1"/>
  <c r="T552" i="12"/>
  <c r="U552" i="12" s="1"/>
  <c r="T551" i="12"/>
  <c r="U551" i="12" s="1"/>
  <c r="T550" i="12"/>
  <c r="U550" i="12" s="1"/>
  <c r="T549" i="12"/>
  <c r="U549" i="12" s="1"/>
  <c r="T548" i="12"/>
  <c r="U548" i="12" s="1"/>
  <c r="T547" i="12"/>
  <c r="U547" i="12" s="1"/>
  <c r="T546" i="12"/>
  <c r="U546" i="12" s="1"/>
  <c r="T545" i="12"/>
  <c r="U545" i="12" s="1"/>
  <c r="T544" i="12"/>
  <c r="U544" i="12" s="1"/>
  <c r="T543" i="12"/>
  <c r="U543" i="12" s="1"/>
  <c r="T542" i="12"/>
  <c r="U542" i="12" s="1"/>
  <c r="T541" i="12"/>
  <c r="U541" i="12" s="1"/>
  <c r="T540" i="12"/>
  <c r="U540" i="12" s="1"/>
  <c r="T539" i="12"/>
  <c r="U539" i="12" s="1"/>
  <c r="T538" i="12"/>
  <c r="U538" i="12" s="1"/>
  <c r="T537" i="12"/>
  <c r="U537" i="12" s="1"/>
  <c r="T536" i="12"/>
  <c r="U536" i="12" s="1"/>
  <c r="T535" i="12"/>
  <c r="U535" i="12" s="1"/>
  <c r="T534" i="12"/>
  <c r="U534" i="12" s="1"/>
  <c r="T533" i="12"/>
  <c r="U533" i="12" s="1"/>
  <c r="T532" i="12"/>
  <c r="U532" i="12" s="1"/>
  <c r="T531" i="12"/>
  <c r="U531" i="12" s="1"/>
  <c r="T530" i="12"/>
  <c r="U530" i="12" s="1"/>
  <c r="T529" i="12"/>
  <c r="U529" i="12" s="1"/>
  <c r="T528" i="12"/>
  <c r="U528" i="12" s="1"/>
  <c r="T527" i="12"/>
  <c r="U527" i="12" s="1"/>
  <c r="T526" i="12"/>
  <c r="U526" i="12" s="1"/>
  <c r="T525" i="12"/>
  <c r="U525" i="12" s="1"/>
  <c r="T524" i="12"/>
  <c r="U524" i="12" s="1"/>
  <c r="T523" i="12"/>
  <c r="U523" i="12" s="1"/>
  <c r="T522" i="12"/>
  <c r="U522" i="12" s="1"/>
  <c r="T521" i="12"/>
  <c r="U521" i="12" s="1"/>
  <c r="T520" i="12"/>
  <c r="U520" i="12" s="1"/>
  <c r="T519" i="12"/>
  <c r="U519" i="12" s="1"/>
  <c r="T518" i="12"/>
  <c r="U518" i="12" s="1"/>
  <c r="T517" i="12"/>
  <c r="U517" i="12" s="1"/>
  <c r="T516" i="12"/>
  <c r="U516" i="12" s="1"/>
  <c r="T515" i="12"/>
  <c r="U515" i="12" s="1"/>
  <c r="T514" i="12"/>
  <c r="U514" i="12" s="1"/>
  <c r="T513" i="12"/>
  <c r="U513" i="12" s="1"/>
  <c r="T512" i="12"/>
  <c r="U512" i="12" s="1"/>
  <c r="T511" i="12"/>
  <c r="U511" i="12" s="1"/>
  <c r="T510" i="12"/>
  <c r="U510" i="12" s="1"/>
  <c r="T509" i="12"/>
  <c r="U509" i="12" s="1"/>
  <c r="T508" i="12"/>
  <c r="U508" i="12" s="1"/>
  <c r="T507" i="12"/>
  <c r="U507" i="12" s="1"/>
  <c r="T506" i="12"/>
  <c r="U506" i="12" s="1"/>
  <c r="T505" i="12"/>
  <c r="U505" i="12" s="1"/>
  <c r="T504" i="12"/>
  <c r="U504" i="12" s="1"/>
  <c r="T503" i="12"/>
  <c r="U503" i="12" s="1"/>
  <c r="T502" i="12"/>
  <c r="U502" i="12" s="1"/>
  <c r="T501" i="12"/>
  <c r="U501" i="12" s="1"/>
  <c r="T500" i="12"/>
  <c r="U500" i="12" s="1"/>
  <c r="T499" i="12"/>
  <c r="U499" i="12" s="1"/>
  <c r="T498" i="12"/>
  <c r="U498" i="12" s="1"/>
  <c r="T497" i="12"/>
  <c r="U497" i="12" s="1"/>
  <c r="T496" i="12"/>
  <c r="U496" i="12" s="1"/>
  <c r="T495" i="12"/>
  <c r="U495" i="12" s="1"/>
  <c r="T494" i="12"/>
  <c r="U494" i="12" s="1"/>
  <c r="T493" i="12"/>
  <c r="U493" i="12" s="1"/>
  <c r="T492" i="12"/>
  <c r="U492" i="12" s="1"/>
  <c r="T491" i="12"/>
  <c r="U491" i="12" s="1"/>
  <c r="T490" i="12"/>
  <c r="U490" i="12" s="1"/>
  <c r="T489" i="12"/>
  <c r="U489" i="12" s="1"/>
  <c r="T488" i="12"/>
  <c r="U488" i="12" s="1"/>
  <c r="T487" i="12"/>
  <c r="U487" i="12" s="1"/>
  <c r="T486" i="12"/>
  <c r="U486" i="12" s="1"/>
  <c r="T485" i="12"/>
  <c r="U485" i="12" s="1"/>
  <c r="T484" i="12"/>
  <c r="U484" i="12" s="1"/>
  <c r="T483" i="12"/>
  <c r="U483" i="12" s="1"/>
  <c r="T482" i="12"/>
  <c r="U482" i="12" s="1"/>
  <c r="T481" i="12"/>
  <c r="U481" i="12" s="1"/>
  <c r="T480" i="12"/>
  <c r="U480" i="12" s="1"/>
  <c r="T479" i="12"/>
  <c r="U479" i="12" s="1"/>
  <c r="T478" i="12"/>
  <c r="U478" i="12" s="1"/>
  <c r="T477" i="12"/>
  <c r="U477" i="12" s="1"/>
  <c r="T476" i="12"/>
  <c r="U476" i="12" s="1"/>
  <c r="T475" i="12"/>
  <c r="U475" i="12" s="1"/>
  <c r="T474" i="12"/>
  <c r="U474" i="12" s="1"/>
  <c r="T473" i="12"/>
  <c r="U473" i="12" s="1"/>
  <c r="T472" i="12"/>
  <c r="U472" i="12" s="1"/>
  <c r="T471" i="12"/>
  <c r="U471" i="12" s="1"/>
  <c r="T470" i="12"/>
  <c r="U470" i="12" s="1"/>
  <c r="T469" i="12"/>
  <c r="U469" i="12" s="1"/>
  <c r="T468" i="12"/>
  <c r="U468" i="12" s="1"/>
  <c r="T467" i="12"/>
  <c r="U467" i="12" s="1"/>
  <c r="T466" i="12"/>
  <c r="U466" i="12" s="1"/>
  <c r="T465" i="12"/>
  <c r="U465" i="12" s="1"/>
  <c r="T464" i="12"/>
  <c r="U464" i="12" s="1"/>
  <c r="T463" i="12"/>
  <c r="U463" i="12" s="1"/>
  <c r="T462" i="12"/>
  <c r="U462" i="12" s="1"/>
  <c r="T461" i="12"/>
  <c r="U461" i="12" s="1"/>
  <c r="T460" i="12"/>
  <c r="U460" i="12" s="1"/>
  <c r="T459" i="12"/>
  <c r="U459" i="12" s="1"/>
  <c r="T458" i="12"/>
  <c r="U458" i="12" s="1"/>
  <c r="T457" i="12"/>
  <c r="U457" i="12" s="1"/>
  <c r="T456" i="12"/>
  <c r="U456" i="12" s="1"/>
  <c r="T455" i="12"/>
  <c r="U455" i="12" s="1"/>
  <c r="T454" i="12"/>
  <c r="U454" i="12" s="1"/>
  <c r="T453" i="12"/>
  <c r="U453" i="12" s="1"/>
  <c r="T452" i="12"/>
  <c r="U452" i="12" s="1"/>
  <c r="T451" i="12"/>
  <c r="U451" i="12" s="1"/>
  <c r="T450" i="12"/>
  <c r="U450" i="12" s="1"/>
  <c r="T449" i="12"/>
  <c r="U449" i="12" s="1"/>
  <c r="T448" i="12"/>
  <c r="U448" i="12" s="1"/>
  <c r="T447" i="12"/>
  <c r="U447" i="12" s="1"/>
  <c r="T446" i="12"/>
  <c r="U446" i="12" s="1"/>
  <c r="T445" i="12"/>
  <c r="U445" i="12" s="1"/>
  <c r="T444" i="12"/>
  <c r="U444" i="12" s="1"/>
  <c r="T443" i="12"/>
  <c r="U443" i="12" s="1"/>
  <c r="T442" i="12"/>
  <c r="U442" i="12" s="1"/>
  <c r="T441" i="12"/>
  <c r="U441" i="12" s="1"/>
  <c r="T440" i="12"/>
  <c r="U440" i="12" s="1"/>
  <c r="T439" i="12"/>
  <c r="U439" i="12" s="1"/>
  <c r="T438" i="12"/>
  <c r="U438" i="12" s="1"/>
  <c r="U437" i="12"/>
  <c r="T437" i="12"/>
  <c r="T436" i="12"/>
  <c r="U436" i="12" s="1"/>
  <c r="T435" i="12"/>
  <c r="U435" i="12" s="1"/>
  <c r="T434" i="12"/>
  <c r="U434" i="12" s="1"/>
  <c r="T433" i="12"/>
  <c r="U433" i="12" s="1"/>
  <c r="T432" i="12"/>
  <c r="U432" i="12" s="1"/>
  <c r="T431" i="12"/>
  <c r="U431" i="12" s="1"/>
  <c r="T430" i="12"/>
  <c r="U430" i="12" s="1"/>
  <c r="T429" i="12"/>
  <c r="U429" i="12" s="1"/>
  <c r="T428" i="12"/>
  <c r="U428" i="12" s="1"/>
  <c r="T427" i="12"/>
  <c r="U427" i="12" s="1"/>
  <c r="T426" i="12"/>
  <c r="U426" i="12" s="1"/>
  <c r="T425" i="12"/>
  <c r="U425" i="12" s="1"/>
  <c r="T424" i="12"/>
  <c r="U424" i="12" s="1"/>
  <c r="T423" i="12"/>
  <c r="U423" i="12" s="1"/>
  <c r="T422" i="12"/>
  <c r="U422" i="12" s="1"/>
  <c r="T421" i="12"/>
  <c r="U421" i="12" s="1"/>
  <c r="T420" i="12"/>
  <c r="U420" i="12" s="1"/>
  <c r="T419" i="12"/>
  <c r="U419" i="12" s="1"/>
  <c r="T418" i="12"/>
  <c r="U418" i="12" s="1"/>
  <c r="T417" i="12"/>
  <c r="U417" i="12" s="1"/>
  <c r="T416" i="12"/>
  <c r="U416" i="12" s="1"/>
  <c r="T415" i="12"/>
  <c r="U415" i="12" s="1"/>
  <c r="T414" i="12"/>
  <c r="U414" i="12" s="1"/>
  <c r="T413" i="12"/>
  <c r="U413" i="12" s="1"/>
  <c r="T412" i="12"/>
  <c r="U412" i="12" s="1"/>
  <c r="T411" i="12"/>
  <c r="U411" i="12" s="1"/>
  <c r="T410" i="12"/>
  <c r="U410" i="12" s="1"/>
  <c r="T409" i="12"/>
  <c r="U409" i="12" s="1"/>
  <c r="T408" i="12"/>
  <c r="U408" i="12" s="1"/>
  <c r="T407" i="12"/>
  <c r="U407" i="12" s="1"/>
  <c r="T406" i="12"/>
  <c r="U406" i="12" s="1"/>
  <c r="T405" i="12"/>
  <c r="U405" i="12" s="1"/>
  <c r="T404" i="12"/>
  <c r="U404" i="12" s="1"/>
  <c r="T403" i="12"/>
  <c r="U403" i="12" s="1"/>
  <c r="T402" i="12"/>
  <c r="U402" i="12" s="1"/>
  <c r="T401" i="12"/>
  <c r="U401" i="12" s="1"/>
  <c r="T400" i="12"/>
  <c r="U400" i="12" s="1"/>
  <c r="T399" i="12"/>
  <c r="U399" i="12" s="1"/>
  <c r="T398" i="12"/>
  <c r="U398" i="12" s="1"/>
  <c r="T397" i="12"/>
  <c r="U397" i="12" s="1"/>
  <c r="T396" i="12"/>
  <c r="U396" i="12" s="1"/>
  <c r="T395" i="12"/>
  <c r="U395" i="12" s="1"/>
  <c r="T394" i="12"/>
  <c r="U394" i="12" s="1"/>
  <c r="T393" i="12"/>
  <c r="U393" i="12" s="1"/>
  <c r="T392" i="12"/>
  <c r="U392" i="12" s="1"/>
  <c r="T391" i="12"/>
  <c r="U391" i="12" s="1"/>
  <c r="T390" i="12"/>
  <c r="U390" i="12" s="1"/>
  <c r="T389" i="12"/>
  <c r="U389" i="12" s="1"/>
  <c r="T388" i="12"/>
  <c r="U388" i="12" s="1"/>
  <c r="T387" i="12"/>
  <c r="U387" i="12" s="1"/>
  <c r="T386" i="12"/>
  <c r="U386" i="12" s="1"/>
  <c r="T385" i="12"/>
  <c r="U385" i="12" s="1"/>
  <c r="T384" i="12"/>
  <c r="U384" i="12" s="1"/>
  <c r="T383" i="12"/>
  <c r="U383" i="12" s="1"/>
  <c r="T382" i="12"/>
  <c r="U382" i="12" s="1"/>
  <c r="T381" i="12"/>
  <c r="U381" i="12" s="1"/>
  <c r="T380" i="12"/>
  <c r="U380" i="12" s="1"/>
  <c r="T379" i="12"/>
  <c r="U379" i="12" s="1"/>
  <c r="T378" i="12"/>
  <c r="U378" i="12" s="1"/>
  <c r="T377" i="12"/>
  <c r="U377" i="12" s="1"/>
  <c r="T376" i="12"/>
  <c r="U376" i="12" s="1"/>
  <c r="T375" i="12"/>
  <c r="U375" i="12" s="1"/>
  <c r="T374" i="12"/>
  <c r="U374" i="12" s="1"/>
  <c r="T373" i="12"/>
  <c r="U373" i="12" s="1"/>
  <c r="T372" i="12"/>
  <c r="U372" i="12" s="1"/>
  <c r="T371" i="12"/>
  <c r="U371" i="12" s="1"/>
  <c r="T370" i="12"/>
  <c r="U370" i="12" s="1"/>
  <c r="T369" i="12"/>
  <c r="U369" i="12" s="1"/>
  <c r="T368" i="12"/>
  <c r="U368" i="12" s="1"/>
  <c r="T367" i="12"/>
  <c r="U367" i="12" s="1"/>
  <c r="T366" i="12"/>
  <c r="U366" i="12" s="1"/>
  <c r="T365" i="12"/>
  <c r="U365" i="12" s="1"/>
  <c r="T364" i="12"/>
  <c r="U364" i="12" s="1"/>
  <c r="T363" i="12"/>
  <c r="U363" i="12" s="1"/>
  <c r="T362" i="12"/>
  <c r="U362" i="12" s="1"/>
  <c r="T361" i="12"/>
  <c r="U361" i="12" s="1"/>
  <c r="T360" i="12"/>
  <c r="U360" i="12" s="1"/>
  <c r="T359" i="12"/>
  <c r="U359" i="12" s="1"/>
  <c r="T358" i="12"/>
  <c r="U358" i="12" s="1"/>
  <c r="T357" i="12"/>
  <c r="U357" i="12" s="1"/>
  <c r="T356" i="12"/>
  <c r="U356" i="12" s="1"/>
  <c r="T355" i="12"/>
  <c r="U355" i="12" s="1"/>
  <c r="T354" i="12"/>
  <c r="U354" i="12" s="1"/>
  <c r="T353" i="12"/>
  <c r="U353" i="12" s="1"/>
  <c r="T352" i="12"/>
  <c r="U352" i="12" s="1"/>
  <c r="T351" i="12"/>
  <c r="U351" i="12" s="1"/>
  <c r="T350" i="12"/>
  <c r="U350" i="12" s="1"/>
  <c r="T349" i="12"/>
  <c r="U349" i="12" s="1"/>
  <c r="T348" i="12"/>
  <c r="U348" i="12" s="1"/>
  <c r="T347" i="12"/>
  <c r="U347" i="12" s="1"/>
  <c r="T346" i="12"/>
  <c r="U346" i="12" s="1"/>
  <c r="T345" i="12"/>
  <c r="U345" i="12" s="1"/>
  <c r="T344" i="12"/>
  <c r="U344" i="12" s="1"/>
  <c r="T343" i="12"/>
  <c r="U343" i="12" s="1"/>
  <c r="T342" i="12"/>
  <c r="U342" i="12" s="1"/>
  <c r="T341" i="12"/>
  <c r="U341" i="12" s="1"/>
  <c r="T340" i="12"/>
  <c r="U340" i="12" s="1"/>
  <c r="T339" i="12"/>
  <c r="U339" i="12" s="1"/>
  <c r="T338" i="12"/>
  <c r="U338" i="12" s="1"/>
  <c r="T337" i="12"/>
  <c r="U337" i="12" s="1"/>
  <c r="T336" i="12"/>
  <c r="U336" i="12" s="1"/>
  <c r="T335" i="12"/>
  <c r="U335" i="12" s="1"/>
  <c r="T334" i="12"/>
  <c r="U334" i="12" s="1"/>
  <c r="T333" i="12"/>
  <c r="U333" i="12" s="1"/>
  <c r="T332" i="12"/>
  <c r="U332" i="12" s="1"/>
  <c r="T331" i="12"/>
  <c r="U331" i="12" s="1"/>
  <c r="T330" i="12"/>
  <c r="U330" i="12" s="1"/>
  <c r="T329" i="12"/>
  <c r="U329" i="12" s="1"/>
  <c r="T328" i="12"/>
  <c r="U328" i="12" s="1"/>
  <c r="T327" i="12"/>
  <c r="U327" i="12" s="1"/>
  <c r="T326" i="12"/>
  <c r="U326" i="12" s="1"/>
  <c r="T325" i="12"/>
  <c r="U325" i="12" s="1"/>
  <c r="T324" i="12"/>
  <c r="U324" i="12" s="1"/>
  <c r="T323" i="12"/>
  <c r="U323" i="12" s="1"/>
  <c r="T322" i="12"/>
  <c r="U322" i="12" s="1"/>
  <c r="T321" i="12"/>
  <c r="U321" i="12" s="1"/>
  <c r="T320" i="12"/>
  <c r="U320" i="12" s="1"/>
  <c r="T319" i="12"/>
  <c r="U319" i="12" s="1"/>
  <c r="T318" i="12"/>
  <c r="U318" i="12" s="1"/>
  <c r="T317" i="12"/>
  <c r="U317" i="12" s="1"/>
  <c r="T316" i="12"/>
  <c r="U316" i="12" s="1"/>
  <c r="T315" i="12"/>
  <c r="U315" i="12" s="1"/>
  <c r="T314" i="12"/>
  <c r="U314" i="12" s="1"/>
  <c r="T313" i="12"/>
  <c r="U313" i="12" s="1"/>
  <c r="T312" i="12"/>
  <c r="U312" i="12" s="1"/>
  <c r="T311" i="12"/>
  <c r="U311" i="12" s="1"/>
  <c r="T310" i="12"/>
  <c r="U310" i="12" s="1"/>
  <c r="T309" i="12"/>
  <c r="U309" i="12" s="1"/>
  <c r="T308" i="12"/>
  <c r="U308" i="12" s="1"/>
  <c r="T307" i="12"/>
  <c r="U307" i="12" s="1"/>
  <c r="T306" i="12"/>
  <c r="U306" i="12" s="1"/>
  <c r="T305" i="12"/>
  <c r="U305" i="12" s="1"/>
  <c r="T304" i="12"/>
  <c r="U304" i="12" s="1"/>
  <c r="T303" i="12"/>
  <c r="U303" i="12" s="1"/>
  <c r="T302" i="12"/>
  <c r="U302" i="12" s="1"/>
  <c r="T301" i="12"/>
  <c r="U301" i="12" s="1"/>
  <c r="T300" i="12"/>
  <c r="U300" i="12" s="1"/>
  <c r="T299" i="12"/>
  <c r="U299" i="12" s="1"/>
  <c r="T298" i="12"/>
  <c r="U298" i="12" s="1"/>
  <c r="T297" i="12"/>
  <c r="U297" i="12" s="1"/>
  <c r="T296" i="12"/>
  <c r="U296" i="12" s="1"/>
  <c r="T295" i="12"/>
  <c r="U295" i="12" s="1"/>
  <c r="T294" i="12"/>
  <c r="U294" i="12" s="1"/>
  <c r="T293" i="12"/>
  <c r="U293" i="12" s="1"/>
  <c r="T292" i="12"/>
  <c r="U292" i="12" s="1"/>
  <c r="T291" i="12"/>
  <c r="U291" i="12" s="1"/>
  <c r="T290" i="12"/>
  <c r="U290" i="12" s="1"/>
  <c r="T289" i="12"/>
  <c r="U289" i="12" s="1"/>
  <c r="T288" i="12"/>
  <c r="U288" i="12" s="1"/>
  <c r="T287" i="12"/>
  <c r="U287" i="12" s="1"/>
  <c r="T286" i="12"/>
  <c r="U286" i="12" s="1"/>
  <c r="T285" i="12"/>
  <c r="U285" i="12" s="1"/>
  <c r="T284" i="12"/>
  <c r="U284" i="12" s="1"/>
  <c r="T283" i="12"/>
  <c r="U283" i="12" s="1"/>
  <c r="T282" i="12"/>
  <c r="U282" i="12" s="1"/>
  <c r="T281" i="12"/>
  <c r="U281" i="12" s="1"/>
  <c r="T280" i="12"/>
  <c r="U280" i="12" s="1"/>
  <c r="T279" i="12"/>
  <c r="U279" i="12" s="1"/>
  <c r="T278" i="12"/>
  <c r="U278" i="12" s="1"/>
  <c r="T277" i="12"/>
  <c r="U277" i="12" s="1"/>
  <c r="T276" i="12"/>
  <c r="U276" i="12" s="1"/>
  <c r="T275" i="12"/>
  <c r="U275" i="12" s="1"/>
  <c r="T274" i="12"/>
  <c r="U274" i="12" s="1"/>
  <c r="T273" i="12"/>
  <c r="U273" i="12" s="1"/>
  <c r="T272" i="12"/>
  <c r="U272" i="12" s="1"/>
  <c r="T271" i="12"/>
  <c r="U271" i="12" s="1"/>
  <c r="T270" i="12"/>
  <c r="U270" i="12" s="1"/>
  <c r="T269" i="12"/>
  <c r="U269" i="12" s="1"/>
  <c r="T268" i="12"/>
  <c r="U268" i="12" s="1"/>
  <c r="T267" i="12"/>
  <c r="U267" i="12" s="1"/>
  <c r="T266" i="12"/>
  <c r="U266" i="12" s="1"/>
  <c r="T265" i="12"/>
  <c r="U265" i="12" s="1"/>
  <c r="T264" i="12"/>
  <c r="U264" i="12" s="1"/>
  <c r="T263" i="12"/>
  <c r="U263" i="12" s="1"/>
  <c r="T262" i="12"/>
  <c r="U262" i="12" s="1"/>
  <c r="T261" i="12"/>
  <c r="U261" i="12" s="1"/>
  <c r="T260" i="12"/>
  <c r="U260" i="12" s="1"/>
  <c r="T259" i="12"/>
  <c r="U259" i="12" s="1"/>
  <c r="T258" i="12"/>
  <c r="U258" i="12" s="1"/>
  <c r="T257" i="12"/>
  <c r="U257" i="12" s="1"/>
  <c r="T256" i="12"/>
  <c r="U256" i="12" s="1"/>
  <c r="T255" i="12"/>
  <c r="U255" i="12" s="1"/>
  <c r="T254" i="12"/>
  <c r="U254" i="12" s="1"/>
  <c r="T253" i="12"/>
  <c r="U253" i="12" s="1"/>
  <c r="T252" i="12"/>
  <c r="U252" i="12" s="1"/>
  <c r="T251" i="12"/>
  <c r="U251" i="12" s="1"/>
  <c r="T250" i="12"/>
  <c r="U250" i="12" s="1"/>
  <c r="T249" i="12"/>
  <c r="U249" i="12" s="1"/>
  <c r="T248" i="12"/>
  <c r="U248" i="12" s="1"/>
  <c r="T247" i="12"/>
  <c r="U247" i="12" s="1"/>
  <c r="T246" i="12"/>
  <c r="U246" i="12" s="1"/>
  <c r="T245" i="12"/>
  <c r="U245" i="12" s="1"/>
  <c r="T244" i="12"/>
  <c r="U244" i="12" s="1"/>
  <c r="T243" i="12"/>
  <c r="U243" i="12" s="1"/>
  <c r="T242" i="12"/>
  <c r="U242" i="12" s="1"/>
  <c r="T241" i="12"/>
  <c r="U241" i="12" s="1"/>
  <c r="T240" i="12"/>
  <c r="U240" i="12" s="1"/>
  <c r="T239" i="12"/>
  <c r="U239" i="12" s="1"/>
  <c r="T238" i="12"/>
  <c r="U238" i="12" s="1"/>
  <c r="T237" i="12"/>
  <c r="U237" i="12" s="1"/>
  <c r="T236" i="12"/>
  <c r="U236" i="12" s="1"/>
  <c r="T235" i="12"/>
  <c r="U235" i="12" s="1"/>
  <c r="T234" i="12"/>
  <c r="U234" i="12" s="1"/>
  <c r="T233" i="12"/>
  <c r="U233" i="12" s="1"/>
  <c r="T232" i="12"/>
  <c r="U232" i="12" s="1"/>
  <c r="T231" i="12"/>
  <c r="U231" i="12" s="1"/>
  <c r="T230" i="12"/>
  <c r="U230" i="12" s="1"/>
  <c r="T229" i="12"/>
  <c r="U229" i="12" s="1"/>
  <c r="T228" i="12"/>
  <c r="U228" i="12" s="1"/>
  <c r="T227" i="12"/>
  <c r="U227" i="12" s="1"/>
  <c r="T226" i="12"/>
  <c r="U226" i="12" s="1"/>
  <c r="T225" i="12"/>
  <c r="U225" i="12" s="1"/>
  <c r="T224" i="12"/>
  <c r="U224" i="12" s="1"/>
  <c r="T223" i="12"/>
  <c r="U223" i="12" s="1"/>
  <c r="T222" i="12"/>
  <c r="U222" i="12" s="1"/>
  <c r="T221" i="12"/>
  <c r="U221" i="12" s="1"/>
  <c r="T220" i="12"/>
  <c r="U220" i="12" s="1"/>
  <c r="T219" i="12"/>
  <c r="U219" i="12" s="1"/>
  <c r="T218" i="12"/>
  <c r="U218" i="12" s="1"/>
  <c r="T217" i="12"/>
  <c r="U217" i="12" s="1"/>
  <c r="T216" i="12"/>
  <c r="U216" i="12" s="1"/>
  <c r="T215" i="12"/>
  <c r="U215" i="12" s="1"/>
  <c r="T214" i="12"/>
  <c r="U214" i="12" s="1"/>
  <c r="T213" i="12"/>
  <c r="U213" i="12" s="1"/>
  <c r="T212" i="12"/>
  <c r="U212" i="12" s="1"/>
  <c r="T211" i="12"/>
  <c r="U211" i="12" s="1"/>
  <c r="T210" i="12"/>
  <c r="U210" i="12" s="1"/>
  <c r="T209" i="12"/>
  <c r="U209" i="12" s="1"/>
  <c r="T208" i="12"/>
  <c r="U208" i="12" s="1"/>
  <c r="T207" i="12"/>
  <c r="U207" i="12" s="1"/>
  <c r="T206" i="12"/>
  <c r="U206" i="12" s="1"/>
  <c r="T205" i="12"/>
  <c r="U205" i="12" s="1"/>
  <c r="T204" i="12"/>
  <c r="U204" i="12" s="1"/>
  <c r="T203" i="12"/>
  <c r="U203" i="12" s="1"/>
  <c r="T202" i="12"/>
  <c r="U202" i="12" s="1"/>
  <c r="T201" i="12"/>
  <c r="U201" i="12" s="1"/>
  <c r="T200" i="12"/>
  <c r="U200" i="12" s="1"/>
  <c r="T199" i="12"/>
  <c r="U199" i="12" s="1"/>
  <c r="T198" i="12"/>
  <c r="U198" i="12" s="1"/>
  <c r="T197" i="12"/>
  <c r="U197" i="12" s="1"/>
  <c r="T196" i="12"/>
  <c r="U196" i="12" s="1"/>
  <c r="T195" i="12"/>
  <c r="U195" i="12" s="1"/>
  <c r="T194" i="12"/>
  <c r="U194" i="12" s="1"/>
  <c r="T193" i="12"/>
  <c r="U193" i="12" s="1"/>
  <c r="T192" i="12"/>
  <c r="U192" i="12" s="1"/>
  <c r="T191" i="12"/>
  <c r="U191" i="12" s="1"/>
  <c r="T190" i="12"/>
  <c r="U190" i="12" s="1"/>
  <c r="T189" i="12"/>
  <c r="U189" i="12" s="1"/>
  <c r="T188" i="12"/>
  <c r="U188" i="12" s="1"/>
  <c r="T187" i="12"/>
  <c r="U187" i="12" s="1"/>
  <c r="T186" i="12"/>
  <c r="U186" i="12" s="1"/>
  <c r="T185" i="12"/>
  <c r="U185" i="12" s="1"/>
  <c r="T184" i="12"/>
  <c r="U184" i="12" s="1"/>
  <c r="T183" i="12"/>
  <c r="U183" i="12" s="1"/>
  <c r="T182" i="12"/>
  <c r="U182" i="12" s="1"/>
  <c r="T181" i="12"/>
  <c r="U181" i="12" s="1"/>
  <c r="T180" i="12"/>
  <c r="U180" i="12" s="1"/>
  <c r="T179" i="12"/>
  <c r="U179" i="12" s="1"/>
  <c r="T178" i="12"/>
  <c r="U178" i="12" s="1"/>
  <c r="T177" i="12"/>
  <c r="U177" i="12" s="1"/>
  <c r="T176" i="12"/>
  <c r="U176" i="12" s="1"/>
  <c r="T175" i="12"/>
  <c r="U175" i="12" s="1"/>
  <c r="T174" i="12"/>
  <c r="U174" i="12" s="1"/>
  <c r="T173" i="12"/>
  <c r="U173" i="12" s="1"/>
  <c r="T172" i="12"/>
  <c r="U172" i="12" s="1"/>
  <c r="T171" i="12"/>
  <c r="U171" i="12" s="1"/>
  <c r="T170" i="12"/>
  <c r="U170" i="12" s="1"/>
  <c r="T169" i="12"/>
  <c r="U169" i="12" s="1"/>
  <c r="T168" i="12"/>
  <c r="U168" i="12" s="1"/>
  <c r="T167" i="12"/>
  <c r="U167" i="12" s="1"/>
  <c r="T166" i="12"/>
  <c r="U166" i="12" s="1"/>
  <c r="T165" i="12"/>
  <c r="U165" i="12" s="1"/>
  <c r="T164" i="12"/>
  <c r="U164" i="12" s="1"/>
  <c r="T163" i="12"/>
  <c r="U163" i="12" s="1"/>
  <c r="T162" i="12"/>
  <c r="U162" i="12" s="1"/>
  <c r="T161" i="12"/>
  <c r="U161" i="12" s="1"/>
  <c r="T160" i="12"/>
  <c r="U160" i="12" s="1"/>
  <c r="T159" i="12"/>
  <c r="U159" i="12" s="1"/>
  <c r="T158" i="12"/>
  <c r="U158" i="12" s="1"/>
  <c r="T157" i="12"/>
  <c r="U157" i="12" s="1"/>
  <c r="T156" i="12"/>
  <c r="U156" i="12" s="1"/>
  <c r="T155" i="12"/>
  <c r="U155" i="12" s="1"/>
  <c r="T154" i="12"/>
  <c r="U154" i="12" s="1"/>
  <c r="T153" i="12"/>
  <c r="U153" i="12" s="1"/>
  <c r="T152" i="12"/>
  <c r="U152" i="12" s="1"/>
  <c r="T151" i="12"/>
  <c r="U151" i="12" s="1"/>
  <c r="T150" i="12"/>
  <c r="U150" i="12" s="1"/>
  <c r="T149" i="12"/>
  <c r="U149" i="12" s="1"/>
  <c r="T148" i="12"/>
  <c r="U148" i="12" s="1"/>
  <c r="T147" i="12"/>
  <c r="U147" i="12" s="1"/>
  <c r="T146" i="12"/>
  <c r="U146" i="12" s="1"/>
  <c r="T145" i="12"/>
  <c r="U145" i="12" s="1"/>
  <c r="T144" i="12"/>
  <c r="U144" i="12" s="1"/>
  <c r="T143" i="12"/>
  <c r="U143" i="12" s="1"/>
  <c r="T142" i="12"/>
  <c r="U142" i="12" s="1"/>
  <c r="T141" i="12"/>
  <c r="U141" i="12" s="1"/>
  <c r="T140" i="12"/>
  <c r="U140" i="12" s="1"/>
  <c r="T139" i="12"/>
  <c r="U139" i="12" s="1"/>
  <c r="T138" i="12"/>
  <c r="U138" i="12" s="1"/>
  <c r="T137" i="12"/>
  <c r="U137" i="12" s="1"/>
  <c r="T136" i="12"/>
  <c r="U136" i="12" s="1"/>
  <c r="T135" i="12"/>
  <c r="U135" i="12" s="1"/>
  <c r="T134" i="12"/>
  <c r="U134" i="12" s="1"/>
  <c r="T133" i="12"/>
  <c r="U133" i="12" s="1"/>
  <c r="T132" i="12"/>
  <c r="U132" i="12" s="1"/>
  <c r="T131" i="12"/>
  <c r="U131" i="12" s="1"/>
  <c r="T130" i="12"/>
  <c r="U130" i="12" s="1"/>
  <c r="T129" i="12"/>
  <c r="U129" i="12" s="1"/>
  <c r="T128" i="12"/>
  <c r="U128" i="12" s="1"/>
  <c r="T127" i="12"/>
  <c r="U127" i="12" s="1"/>
  <c r="T126" i="12"/>
  <c r="U126" i="12" s="1"/>
  <c r="T125" i="12"/>
  <c r="U125" i="12" s="1"/>
  <c r="T124" i="12"/>
  <c r="U124" i="12" s="1"/>
  <c r="T123" i="12"/>
  <c r="U123" i="12" s="1"/>
  <c r="T122" i="12"/>
  <c r="U122" i="12" s="1"/>
  <c r="T121" i="12"/>
  <c r="U121" i="12" s="1"/>
  <c r="T120" i="12"/>
  <c r="U120" i="12" s="1"/>
  <c r="T119" i="12"/>
  <c r="U119" i="12" s="1"/>
  <c r="T118" i="12"/>
  <c r="U118" i="12" s="1"/>
  <c r="T117" i="12"/>
  <c r="U117" i="12" s="1"/>
  <c r="T116" i="12"/>
  <c r="U116" i="12" s="1"/>
  <c r="T115" i="12"/>
  <c r="U115" i="12" s="1"/>
  <c r="T114" i="12"/>
  <c r="U114" i="12" s="1"/>
  <c r="T113" i="12"/>
  <c r="U113" i="12" s="1"/>
  <c r="T112" i="12"/>
  <c r="U112" i="12" s="1"/>
  <c r="T111" i="12"/>
  <c r="U111" i="12" s="1"/>
  <c r="T110" i="12"/>
  <c r="U110" i="12" s="1"/>
  <c r="T109" i="12"/>
  <c r="U109" i="12" s="1"/>
  <c r="T108" i="12"/>
  <c r="U108" i="12" s="1"/>
  <c r="T107" i="12"/>
  <c r="U107" i="12" s="1"/>
  <c r="T106" i="12"/>
  <c r="U106" i="12" s="1"/>
  <c r="T105" i="12"/>
  <c r="U105" i="12" s="1"/>
  <c r="T104" i="12"/>
  <c r="U104" i="12" s="1"/>
  <c r="T103" i="12"/>
  <c r="U103" i="12" s="1"/>
  <c r="T102" i="12"/>
  <c r="U102" i="12" s="1"/>
  <c r="T101" i="12"/>
  <c r="U101" i="12" s="1"/>
  <c r="T100" i="12"/>
  <c r="U100" i="12" s="1"/>
  <c r="T99" i="12"/>
  <c r="U99" i="12" s="1"/>
  <c r="T98" i="12"/>
  <c r="U98" i="12" s="1"/>
  <c r="T97" i="12"/>
  <c r="U97" i="12" s="1"/>
  <c r="T96" i="12"/>
  <c r="U96" i="12" s="1"/>
  <c r="T95" i="12"/>
  <c r="U95" i="12" s="1"/>
  <c r="T94" i="12"/>
  <c r="U94" i="12" s="1"/>
  <c r="T93" i="12"/>
  <c r="U93" i="12" s="1"/>
  <c r="T92" i="12"/>
  <c r="U92" i="12" s="1"/>
  <c r="T91" i="12"/>
  <c r="U91" i="12" s="1"/>
  <c r="T90" i="12"/>
  <c r="U90" i="12" s="1"/>
  <c r="T89" i="12"/>
  <c r="U89" i="12" s="1"/>
  <c r="T88" i="12"/>
  <c r="U88" i="12" s="1"/>
  <c r="T87" i="12"/>
  <c r="U87" i="12" s="1"/>
  <c r="T86" i="12"/>
  <c r="U86" i="12" s="1"/>
  <c r="T85" i="12"/>
  <c r="U85" i="12" s="1"/>
  <c r="T84" i="12"/>
  <c r="U84" i="12" s="1"/>
  <c r="T83" i="12"/>
  <c r="U83" i="12" s="1"/>
  <c r="T82" i="12"/>
  <c r="U82" i="12" s="1"/>
  <c r="T81" i="12"/>
  <c r="U81" i="12" s="1"/>
  <c r="T80" i="12"/>
  <c r="U80" i="12" s="1"/>
  <c r="T79" i="12"/>
  <c r="U79" i="12" s="1"/>
  <c r="T78" i="12"/>
  <c r="U78" i="12" s="1"/>
  <c r="T77" i="12"/>
  <c r="U77" i="12" s="1"/>
  <c r="T76" i="12"/>
  <c r="U76" i="12" s="1"/>
  <c r="T75" i="12"/>
  <c r="U75" i="12" s="1"/>
  <c r="T74" i="12"/>
  <c r="U74" i="12" s="1"/>
  <c r="T73" i="12"/>
  <c r="U73" i="12" s="1"/>
  <c r="T72" i="12"/>
  <c r="U72" i="12" s="1"/>
  <c r="T71" i="12"/>
  <c r="U71" i="12" s="1"/>
  <c r="T70" i="12"/>
  <c r="U70" i="12" s="1"/>
  <c r="T69" i="12"/>
  <c r="U69" i="12" s="1"/>
  <c r="T68" i="12"/>
  <c r="U68" i="12" s="1"/>
  <c r="T67" i="12"/>
  <c r="U67" i="12" s="1"/>
  <c r="T66" i="12"/>
  <c r="U66" i="12" s="1"/>
  <c r="T65" i="12"/>
  <c r="U65" i="12" s="1"/>
  <c r="T64" i="12"/>
  <c r="U64" i="12" s="1"/>
  <c r="T63" i="12"/>
  <c r="U63" i="12" s="1"/>
  <c r="T62" i="12"/>
  <c r="U62" i="12" s="1"/>
  <c r="T61" i="12"/>
  <c r="U61" i="12" s="1"/>
  <c r="T60" i="12"/>
  <c r="U60" i="12" s="1"/>
  <c r="T59" i="12"/>
  <c r="U59" i="12" s="1"/>
  <c r="T58" i="12"/>
  <c r="U58" i="12" s="1"/>
  <c r="T57" i="12"/>
  <c r="U57" i="12" s="1"/>
  <c r="T56" i="12"/>
  <c r="U56" i="12" s="1"/>
  <c r="T55" i="12"/>
  <c r="U55" i="12" s="1"/>
  <c r="T54" i="12"/>
  <c r="U54" i="12" s="1"/>
  <c r="T53" i="12"/>
  <c r="U53" i="12" s="1"/>
  <c r="T52" i="12"/>
  <c r="U52" i="12" s="1"/>
  <c r="T51" i="12"/>
  <c r="U51" i="12" s="1"/>
  <c r="T50" i="12"/>
  <c r="U50" i="12" s="1"/>
  <c r="T49" i="12"/>
  <c r="U49" i="12" s="1"/>
  <c r="T48" i="12"/>
  <c r="U48" i="12" s="1"/>
  <c r="T47" i="12"/>
  <c r="U47" i="12" s="1"/>
  <c r="T46" i="12"/>
  <c r="U46" i="12" s="1"/>
  <c r="T45" i="12"/>
  <c r="U45" i="12" s="1"/>
  <c r="T44" i="12"/>
  <c r="U44" i="12" s="1"/>
  <c r="T43" i="12"/>
  <c r="U43" i="12" s="1"/>
  <c r="T42" i="12"/>
  <c r="U42" i="12" s="1"/>
  <c r="T41" i="12"/>
  <c r="U41" i="12" s="1"/>
  <c r="T40" i="12"/>
  <c r="U40" i="12" s="1"/>
  <c r="T39" i="12"/>
  <c r="U39" i="12" s="1"/>
  <c r="T38" i="12"/>
  <c r="U38" i="12" s="1"/>
  <c r="T37" i="12"/>
  <c r="U37" i="12" s="1"/>
  <c r="T36" i="12"/>
  <c r="U36" i="12" s="1"/>
  <c r="T35" i="12"/>
  <c r="U35" i="12" s="1"/>
  <c r="T34" i="12"/>
  <c r="U34" i="12" s="1"/>
  <c r="T33" i="12"/>
  <c r="U33" i="12" s="1"/>
  <c r="T32" i="12"/>
  <c r="U32" i="12" s="1"/>
  <c r="T31" i="12"/>
  <c r="U31" i="12" s="1"/>
  <c r="T30" i="12"/>
  <c r="U30" i="12" s="1"/>
  <c r="T29" i="12"/>
  <c r="U29" i="12" s="1"/>
  <c r="T28" i="12"/>
  <c r="U28" i="12" s="1"/>
  <c r="T27" i="12"/>
  <c r="U27" i="12" s="1"/>
  <c r="T26" i="12"/>
  <c r="U26" i="12" s="1"/>
  <c r="T25" i="12"/>
  <c r="U25" i="12" s="1"/>
  <c r="T24" i="12"/>
  <c r="U24" i="12" s="1"/>
  <c r="T23" i="12"/>
  <c r="U23" i="12" s="1"/>
  <c r="T22" i="12"/>
  <c r="U22" i="12" s="1"/>
  <c r="T21" i="12"/>
  <c r="U21" i="12" s="1"/>
  <c r="T20" i="12"/>
  <c r="U20" i="12" s="1"/>
  <c r="T19" i="12"/>
  <c r="U19" i="12" s="1"/>
  <c r="T18" i="12"/>
  <c r="U18" i="12" s="1"/>
  <c r="T17" i="12"/>
  <c r="U17" i="12" s="1"/>
  <c r="T16" i="12"/>
  <c r="U16" i="12" s="1"/>
  <c r="T15" i="12"/>
  <c r="U15" i="12" s="1"/>
  <c r="T14" i="12"/>
  <c r="U14" i="12" s="1"/>
  <c r="T13" i="12"/>
  <c r="U13" i="12" s="1"/>
  <c r="T12" i="12"/>
  <c r="U12" i="12" s="1"/>
  <c r="T11" i="12"/>
  <c r="U11" i="12" s="1"/>
  <c r="T10" i="12"/>
  <c r="U10" i="12" s="1"/>
  <c r="T9" i="12"/>
  <c r="U9" i="12" s="1"/>
  <c r="T8" i="12"/>
  <c r="U8" i="12" s="1"/>
  <c r="T7" i="12"/>
  <c r="U7" i="12" s="1"/>
  <c r="T6" i="12"/>
  <c r="U6" i="12" s="1"/>
  <c r="T5" i="12"/>
  <c r="U5" i="12" s="1"/>
  <c r="T4" i="12"/>
  <c r="U4" i="12" s="1"/>
  <c r="T3" i="12"/>
  <c r="U3" i="12" s="1"/>
  <c r="G16" i="17" l="1"/>
  <c r="H18" i="14"/>
  <c r="G4" i="17"/>
  <c r="H4" i="14"/>
  <c r="H19" i="14"/>
  <c r="G17" i="17"/>
  <c r="G5" i="17"/>
  <c r="H5" i="14"/>
  <c r="B8" i="13"/>
  <c r="G6" i="17"/>
  <c r="H6" i="14"/>
  <c r="H12" i="14"/>
  <c r="G10" i="17"/>
  <c r="G9" i="17"/>
  <c r="H11" i="14"/>
  <c r="O8" i="14"/>
  <c r="P8" i="14"/>
  <c r="P7" i="14"/>
  <c r="O7" i="14"/>
  <c r="C13" i="13"/>
  <c r="C12" i="13"/>
  <c r="J13" i="14" s="1"/>
  <c r="C19" i="13"/>
  <c r="J20" i="14" s="1"/>
  <c r="B15" i="13"/>
  <c r="B22" i="13"/>
  <c r="B7" i="13"/>
  <c r="S6" i="14" l="1"/>
  <c r="AN6" i="14"/>
  <c r="AP6" i="14"/>
  <c r="AC6" i="14"/>
  <c r="Y6" i="14"/>
  <c r="AL6" i="14"/>
  <c r="Q6" i="14"/>
  <c r="X6" i="14"/>
  <c r="W6" i="14"/>
  <c r="AM6" i="14"/>
  <c r="AG6" i="14"/>
  <c r="R6" i="14"/>
  <c r="T6" i="14"/>
  <c r="AO6" i="14"/>
  <c r="U6" i="14"/>
  <c r="V6" i="14"/>
  <c r="AR6" i="14"/>
  <c r="AB6" i="14"/>
  <c r="AE6" i="14"/>
  <c r="AD6" i="14"/>
  <c r="AJ6" i="14"/>
  <c r="AH6" i="14"/>
  <c r="AF6" i="14"/>
  <c r="AK6" i="14"/>
  <c r="Z6" i="14"/>
  <c r="AA6" i="14"/>
  <c r="AI6" i="14"/>
  <c r="AQ6" i="14"/>
  <c r="AQ6" i="17"/>
  <c r="AP6" i="17"/>
  <c r="S4" i="14"/>
  <c r="W4" i="14"/>
  <c r="AQ4" i="14"/>
  <c r="AO4" i="14"/>
  <c r="AE4" i="14"/>
  <c r="AG4" i="14"/>
  <c r="AP4" i="14"/>
  <c r="AD4" i="14"/>
  <c r="V4" i="14"/>
  <c r="AR4" i="14"/>
  <c r="AB4" i="14"/>
  <c r="T4" i="14"/>
  <c r="X4" i="14"/>
  <c r="AH4" i="14"/>
  <c r="AJ4" i="14"/>
  <c r="Y4" i="14"/>
  <c r="AN4" i="14"/>
  <c r="AF4" i="14"/>
  <c r="AK4" i="14"/>
  <c r="AM4" i="14"/>
  <c r="U4" i="14"/>
  <c r="AA4" i="14"/>
  <c r="Q4" i="14"/>
  <c r="AI4" i="14"/>
  <c r="Z4" i="14"/>
  <c r="R4" i="14"/>
  <c r="AC4" i="14"/>
  <c r="AL4" i="14"/>
  <c r="AP5" i="17"/>
  <c r="AQ5" i="17"/>
  <c r="G7" i="17"/>
  <c r="AQ4" i="17"/>
  <c r="AP4" i="17"/>
  <c r="S5" i="14"/>
  <c r="Z5" i="14"/>
  <c r="AA5" i="14"/>
  <c r="AI5" i="14"/>
  <c r="AF5" i="14"/>
  <c r="AC5" i="14"/>
  <c r="Y5" i="14"/>
  <c r="AQ5" i="14"/>
  <c r="AN5" i="14"/>
  <c r="AJ5" i="14"/>
  <c r="AJ8" i="14" s="1"/>
  <c r="AH5" i="14"/>
  <c r="Q5" i="14"/>
  <c r="AM5" i="14"/>
  <c r="AD5" i="14"/>
  <c r="AO5" i="14"/>
  <c r="U5" i="14"/>
  <c r="V5" i="14"/>
  <c r="AE5" i="14"/>
  <c r="AR5" i="14"/>
  <c r="X5" i="14"/>
  <c r="AB5" i="14"/>
  <c r="AP5" i="14"/>
  <c r="AG5" i="14"/>
  <c r="R5" i="14"/>
  <c r="T5" i="14"/>
  <c r="AL5" i="14"/>
  <c r="W5" i="14"/>
  <c r="AK5" i="14"/>
  <c r="AP17" i="17"/>
  <c r="AQ17" i="17"/>
  <c r="S19" i="14"/>
  <c r="U19" i="14"/>
  <c r="T19" i="14"/>
  <c r="AD19" i="14"/>
  <c r="AL19" i="14"/>
  <c r="Y19" i="14"/>
  <c r="AK19" i="14"/>
  <c r="R19" i="14"/>
  <c r="AB19" i="14"/>
  <c r="AA19" i="14"/>
  <c r="AM19" i="14"/>
  <c r="W19" i="14"/>
  <c r="AC19" i="14"/>
  <c r="AP19" i="14"/>
  <c r="AR19" i="14"/>
  <c r="AN19" i="14"/>
  <c r="AG19" i="14"/>
  <c r="AI19" i="14"/>
  <c r="X19" i="14"/>
  <c r="AO19" i="14"/>
  <c r="Z19" i="14"/>
  <c r="AE19" i="14"/>
  <c r="Q19" i="14"/>
  <c r="AQ19" i="14"/>
  <c r="V19" i="14"/>
  <c r="AH19" i="14"/>
  <c r="AJ19" i="14"/>
  <c r="AF19" i="14"/>
  <c r="S18" i="14"/>
  <c r="Q18" i="14"/>
  <c r="AK18" i="14"/>
  <c r="AN18" i="14"/>
  <c r="AJ18" i="14"/>
  <c r="R18" i="14"/>
  <c r="AF18" i="14"/>
  <c r="AA18" i="14"/>
  <c r="T18" i="14"/>
  <c r="AH18" i="14"/>
  <c r="AR18" i="14"/>
  <c r="AG18" i="14"/>
  <c r="AE18" i="14"/>
  <c r="AO18" i="14"/>
  <c r="AM18" i="14"/>
  <c r="V18" i="14"/>
  <c r="U18" i="14"/>
  <c r="Z18" i="14"/>
  <c r="W18" i="14"/>
  <c r="AQ18" i="14"/>
  <c r="AP18" i="14"/>
  <c r="AL18" i="14"/>
  <c r="AC18" i="14"/>
  <c r="Y18" i="14"/>
  <c r="AD18" i="14"/>
  <c r="AI18" i="14"/>
  <c r="X18" i="14"/>
  <c r="AB18" i="14"/>
  <c r="AP16" i="17"/>
  <c r="AQ16" i="17"/>
  <c r="S11" i="14"/>
  <c r="AM11" i="14"/>
  <c r="V11" i="14"/>
  <c r="X11" i="14"/>
  <c r="AH11" i="14"/>
  <c r="AL11" i="14"/>
  <c r="AG11" i="14"/>
  <c r="AI11" i="14"/>
  <c r="AK11" i="14"/>
  <c r="Y11" i="14"/>
  <c r="AB11" i="14"/>
  <c r="AD11" i="14"/>
  <c r="Z11" i="14"/>
  <c r="AP11" i="14"/>
  <c r="Q11" i="14"/>
  <c r="P9" i="17" s="1"/>
  <c r="AQ11" i="14"/>
  <c r="R11" i="14"/>
  <c r="AO11" i="14"/>
  <c r="AN11" i="14"/>
  <c r="AE11" i="14"/>
  <c r="T11" i="14"/>
  <c r="AJ11" i="14"/>
  <c r="AR11" i="14"/>
  <c r="AF11" i="14"/>
  <c r="AC11" i="14"/>
  <c r="U11" i="14"/>
  <c r="W11" i="14"/>
  <c r="AA11" i="14"/>
  <c r="AQ9" i="17"/>
  <c r="AP9" i="17"/>
  <c r="AP10" i="17"/>
  <c r="AQ10" i="17"/>
  <c r="S12" i="14"/>
  <c r="AQ12" i="14"/>
  <c r="AH12" i="14"/>
  <c r="AJ12" i="14"/>
  <c r="T12" i="14"/>
  <c r="AI12" i="14"/>
  <c r="AD12" i="14"/>
  <c r="AP12" i="14"/>
  <c r="R12" i="14"/>
  <c r="AN12" i="14"/>
  <c r="W12" i="14"/>
  <c r="AE12" i="14"/>
  <c r="AR12" i="14"/>
  <c r="AB12" i="14"/>
  <c r="AM12" i="14"/>
  <c r="AO12" i="14"/>
  <c r="AG12" i="14"/>
  <c r="U12" i="14"/>
  <c r="X12" i="14"/>
  <c r="Z12" i="14"/>
  <c r="AF12" i="14"/>
  <c r="AC12" i="14"/>
  <c r="Y12" i="14"/>
  <c r="AA12" i="14"/>
  <c r="AK12" i="14"/>
  <c r="Q12" i="14"/>
  <c r="P10" i="17" s="1"/>
  <c r="V12" i="14"/>
  <c r="AL12" i="14"/>
  <c r="C15" i="13"/>
  <c r="E15" i="13" s="1"/>
  <c r="I9" i="17"/>
  <c r="J11" i="14"/>
  <c r="D13" i="13"/>
  <c r="I10" i="17"/>
  <c r="J12" i="14"/>
  <c r="I16" i="17"/>
  <c r="J18" i="14"/>
  <c r="E13" i="13"/>
  <c r="E12" i="13"/>
  <c r="D12" i="13"/>
  <c r="D19" i="13"/>
  <c r="E19" i="13"/>
  <c r="AK8" i="14" l="1"/>
  <c r="AI21" i="14"/>
  <c r="AD21" i="14"/>
  <c r="R8" i="14"/>
  <c r="AF8" i="14"/>
  <c r="S8" i="14"/>
  <c r="AR8" i="14"/>
  <c r="AC8" i="14"/>
  <c r="V8" i="14"/>
  <c r="AR21" i="14"/>
  <c r="AA21" i="14"/>
  <c r="U21" i="14"/>
  <c r="AK21" i="14"/>
  <c r="AP19" i="17"/>
  <c r="AM21" i="14"/>
  <c r="AI8" i="14"/>
  <c r="AH21" i="14"/>
  <c r="W8" i="14"/>
  <c r="Z8" i="14"/>
  <c r="AQ21" i="14"/>
  <c r="AN8" i="14"/>
  <c r="AQ8" i="14"/>
  <c r="AD8" i="14"/>
  <c r="Z21" i="14"/>
  <c r="AN21" i="14"/>
  <c r="AB8" i="14"/>
  <c r="Y8" i="14"/>
  <c r="AP7" i="17"/>
  <c r="T7" i="14"/>
  <c r="AE7" i="14"/>
  <c r="R21" i="14"/>
  <c r="AA7" i="14"/>
  <c r="AH7" i="14"/>
  <c r="AG7" i="14"/>
  <c r="AO7" i="14"/>
  <c r="X21" i="14"/>
  <c r="AP8" i="14"/>
  <c r="AM8" i="14"/>
  <c r="AB21" i="14"/>
  <c r="T21" i="14"/>
  <c r="S21" i="14"/>
  <c r="U7" i="14"/>
  <c r="AG21" i="14"/>
  <c r="AL7" i="14"/>
  <c r="AQ19" i="17"/>
  <c r="V21" i="14"/>
  <c r="AQ7" i="17"/>
  <c r="X8" i="14"/>
  <c r="AC21" i="14"/>
  <c r="AF21" i="14"/>
  <c r="AH8" i="14"/>
  <c r="AA8" i="14"/>
  <c r="AC7" i="14"/>
  <c r="AK7" i="14"/>
  <c r="AB7" i="14"/>
  <c r="AQ7" i="14"/>
  <c r="X7" i="14"/>
  <c r="AL21" i="14"/>
  <c r="AO21" i="14"/>
  <c r="AL8" i="14"/>
  <c r="AE8" i="14"/>
  <c r="R7" i="14"/>
  <c r="AF7" i="14"/>
  <c r="AR7" i="14"/>
  <c r="W7" i="14"/>
  <c r="Q8" i="14"/>
  <c r="AS5" i="14"/>
  <c r="AP21" i="14"/>
  <c r="AE21" i="14"/>
  <c r="AJ21" i="14"/>
  <c r="T8" i="14"/>
  <c r="Z7" i="14"/>
  <c r="AN7" i="14"/>
  <c r="V7" i="14"/>
  <c r="S7" i="14"/>
  <c r="AS6" i="14"/>
  <c r="AM7" i="14"/>
  <c r="U8" i="14"/>
  <c r="AI7" i="14"/>
  <c r="Y7" i="14"/>
  <c r="AD7" i="14"/>
  <c r="AP18" i="17"/>
  <c r="AS18" i="14"/>
  <c r="Q21" i="14"/>
  <c r="Y21" i="14"/>
  <c r="W21" i="14"/>
  <c r="AS19" i="14"/>
  <c r="AG8" i="14"/>
  <c r="AO8" i="14"/>
  <c r="AS4" i="14"/>
  <c r="Q7" i="14"/>
  <c r="AJ7" i="14"/>
  <c r="AP7" i="14"/>
  <c r="AQ18" i="17"/>
  <c r="AF14" i="14"/>
  <c r="AQ14" i="14"/>
  <c r="AI14" i="14"/>
  <c r="AR14" i="14"/>
  <c r="AG14" i="14"/>
  <c r="D15" i="13"/>
  <c r="AP12" i="17"/>
  <c r="AJ14" i="14"/>
  <c r="AP14" i="14"/>
  <c r="AL14" i="14"/>
  <c r="AQ12" i="17"/>
  <c r="T14" i="14"/>
  <c r="Z14" i="14"/>
  <c r="AH14" i="14"/>
  <c r="AA14" i="14"/>
  <c r="AE14" i="14"/>
  <c r="AD14" i="14"/>
  <c r="X14" i="14"/>
  <c r="Q14" i="14"/>
  <c r="AS11" i="14"/>
  <c r="W14" i="14"/>
  <c r="AN14" i="14"/>
  <c r="AB14" i="14"/>
  <c r="V14" i="14"/>
  <c r="AS12" i="14"/>
  <c r="U14" i="14"/>
  <c r="AO14" i="14"/>
  <c r="Y14" i="14"/>
  <c r="AM14" i="14"/>
  <c r="AC14" i="14"/>
  <c r="R14" i="14"/>
  <c r="AK14" i="14"/>
  <c r="S14" i="14"/>
  <c r="H9" i="17"/>
  <c r="I11" i="14"/>
  <c r="M11" i="14" s="1"/>
  <c r="N11" i="14" s="1"/>
  <c r="I12" i="14"/>
  <c r="M12" i="14" s="1"/>
  <c r="N12" i="14" s="1"/>
  <c r="H10" i="17"/>
  <c r="L10" i="17" s="1"/>
  <c r="H16" i="17"/>
  <c r="I18" i="14"/>
  <c r="M18" i="14" s="1"/>
  <c r="N18" i="14" s="1"/>
  <c r="AS8" i="14" l="1"/>
  <c r="AS7" i="14"/>
  <c r="AS21" i="14"/>
  <c r="M10" i="17"/>
  <c r="L16" i="17"/>
  <c r="L9" i="17"/>
  <c r="AS14" i="14"/>
  <c r="M16" i="17" l="1"/>
  <c r="M9" i="17"/>
  <c r="I24" i="3" l="1"/>
  <c r="H24" i="3"/>
  <c r="G24" i="3"/>
  <c r="E24" i="3"/>
  <c r="I23" i="3"/>
  <c r="H23" i="3"/>
  <c r="G23" i="3"/>
  <c r="E23" i="3"/>
  <c r="I22" i="3"/>
  <c r="H22" i="3"/>
  <c r="G22" i="3"/>
  <c r="E22" i="3"/>
  <c r="I21" i="3"/>
  <c r="H21" i="3"/>
  <c r="G21" i="3"/>
  <c r="I20" i="3"/>
  <c r="H20" i="3"/>
  <c r="G20" i="3"/>
  <c r="F20" i="3"/>
  <c r="I19" i="3"/>
  <c r="H19" i="3"/>
  <c r="G19" i="3"/>
  <c r="Q15" i="3"/>
  <c r="N24" i="3"/>
  <c r="M24" i="3"/>
  <c r="F24" i="3"/>
  <c r="D24" i="3"/>
  <c r="C24" i="3"/>
  <c r="B24" i="3"/>
  <c r="A24" i="3"/>
  <c r="Q23" i="3"/>
  <c r="N23" i="3"/>
  <c r="F23" i="3"/>
  <c r="D23" i="3"/>
  <c r="C23" i="3"/>
  <c r="B23" i="3"/>
  <c r="A23" i="3"/>
  <c r="N22" i="3"/>
  <c r="M22" i="3"/>
  <c r="K22" i="3"/>
  <c r="F22" i="3"/>
  <c r="D22" i="3"/>
  <c r="C22" i="3"/>
  <c r="B22" i="3"/>
  <c r="A22" i="3"/>
  <c r="N21" i="3"/>
  <c r="O7" i="3"/>
  <c r="F21" i="3"/>
  <c r="E21" i="3"/>
  <c r="D21" i="3"/>
  <c r="C21" i="3"/>
  <c r="B21" i="3"/>
  <c r="A21" i="3"/>
  <c r="N20" i="3"/>
  <c r="L6" i="3"/>
  <c r="E20" i="3"/>
  <c r="D20" i="3"/>
  <c r="C20" i="3"/>
  <c r="B20" i="3"/>
  <c r="A20" i="3"/>
  <c r="N19" i="3"/>
  <c r="M19" i="3"/>
  <c r="AA5" i="3"/>
  <c r="F19" i="3"/>
  <c r="E19" i="3"/>
  <c r="D19" i="3"/>
  <c r="C19" i="3"/>
  <c r="B19" i="3"/>
  <c r="A19" i="3"/>
  <c r="F17" i="2"/>
  <c r="E17" i="2"/>
  <c r="D17" i="2"/>
  <c r="C17" i="2"/>
  <c r="B17" i="2"/>
  <c r="G17" i="2" s="1"/>
  <c r="D6" i="2" s="1"/>
  <c r="F6" i="2" s="1"/>
  <c r="B27" i="2" s="1"/>
  <c r="G15" i="2"/>
  <c r="F9" i="2"/>
  <c r="F8" i="2"/>
  <c r="F7" i="2"/>
  <c r="F5" i="2"/>
  <c r="B26" i="2" s="1"/>
  <c r="F4" i="2"/>
  <c r="B24" i="2" s="1"/>
  <c r="F3" i="2"/>
  <c r="B23" i="2" s="1"/>
  <c r="V1045" i="1"/>
  <c r="V1044" i="1"/>
  <c r="V1043" i="1"/>
  <c r="W1043" i="1" s="1"/>
  <c r="V1042" i="1"/>
  <c r="W1042" i="1" s="1"/>
  <c r="V1041" i="1"/>
  <c r="W1041" i="1" s="1"/>
  <c r="V1040" i="1"/>
  <c r="W1040" i="1" s="1"/>
  <c r="V1039" i="1"/>
  <c r="W1039" i="1" s="1"/>
  <c r="V1038" i="1"/>
  <c r="W1038" i="1" s="1"/>
  <c r="V1037" i="1"/>
  <c r="V1036" i="1"/>
  <c r="W1036" i="1" s="1"/>
  <c r="V1035" i="1"/>
  <c r="W1035" i="1" s="1"/>
  <c r="V1034" i="1"/>
  <c r="V1033" i="1"/>
  <c r="W1033" i="1" s="1"/>
  <c r="V1032" i="1"/>
  <c r="W1032" i="1" s="1"/>
  <c r="V1031" i="1"/>
  <c r="W1031" i="1" s="1"/>
  <c r="V1030" i="1"/>
  <c r="W1030" i="1" s="1"/>
  <c r="V1029" i="1"/>
  <c r="W1029" i="1" s="1"/>
  <c r="V1028" i="1"/>
  <c r="W1028" i="1" s="1"/>
  <c r="V1027" i="1"/>
  <c r="W1027" i="1" s="1"/>
  <c r="V1026" i="1"/>
  <c r="W1026" i="1" s="1"/>
  <c r="V1025" i="1"/>
  <c r="W1025" i="1" s="1"/>
  <c r="V1024" i="1"/>
  <c r="W1024" i="1" s="1"/>
  <c r="V1023" i="1"/>
  <c r="W1023" i="1" s="1"/>
  <c r="V1022" i="1"/>
  <c r="W1022" i="1" s="1"/>
  <c r="V1021" i="1"/>
  <c r="W1021" i="1" s="1"/>
  <c r="V1020" i="1"/>
  <c r="W1020" i="1" s="1"/>
  <c r="V1019" i="1"/>
  <c r="W1019" i="1" s="1"/>
  <c r="V1018" i="1"/>
  <c r="W1018" i="1" s="1"/>
  <c r="V1017" i="1"/>
  <c r="W1017" i="1" s="1"/>
  <c r="V1016" i="1"/>
  <c r="W1016" i="1" s="1"/>
  <c r="V1015" i="1"/>
  <c r="W1015" i="1" s="1"/>
  <c r="V1014" i="1"/>
  <c r="W1014" i="1" s="1"/>
  <c r="V1013" i="1"/>
  <c r="W1013" i="1" s="1"/>
  <c r="V1012" i="1"/>
  <c r="W1012" i="1" s="1"/>
  <c r="V1011" i="1"/>
  <c r="W1011" i="1" s="1"/>
  <c r="V1010" i="1"/>
  <c r="V1009" i="1"/>
  <c r="V1008" i="1"/>
  <c r="V1007" i="1"/>
  <c r="W1007" i="1" s="1"/>
  <c r="V1006" i="1"/>
  <c r="W1006" i="1" s="1"/>
  <c r="V1005" i="1"/>
  <c r="W1005" i="1" s="1"/>
  <c r="V1004" i="1"/>
  <c r="W1004" i="1" s="1"/>
  <c r="V1003" i="1"/>
  <c r="V1002" i="1"/>
  <c r="V1001" i="1"/>
  <c r="W1001" i="1" s="1"/>
  <c r="V1000" i="1"/>
  <c r="W1000" i="1" s="1"/>
  <c r="V999" i="1"/>
  <c r="W999" i="1" s="1"/>
  <c r="V998" i="1"/>
  <c r="W998" i="1" s="1"/>
  <c r="V997" i="1"/>
  <c r="W997" i="1" s="1"/>
  <c r="V996" i="1"/>
  <c r="W996" i="1" s="1"/>
  <c r="V995" i="1"/>
  <c r="W995" i="1" s="1"/>
  <c r="V994" i="1"/>
  <c r="W994" i="1" s="1"/>
  <c r="V993" i="1"/>
  <c r="W993" i="1" s="1"/>
  <c r="V992" i="1"/>
  <c r="W992" i="1" s="1"/>
  <c r="V991" i="1"/>
  <c r="W991" i="1" s="1"/>
  <c r="V990" i="1"/>
  <c r="W990" i="1" s="1"/>
  <c r="V989" i="1"/>
  <c r="W989" i="1" s="1"/>
  <c r="V988" i="1"/>
  <c r="W988" i="1" s="1"/>
  <c r="V987" i="1"/>
  <c r="W987" i="1" s="1"/>
  <c r="V986" i="1"/>
  <c r="W986" i="1" s="1"/>
  <c r="V985" i="1"/>
  <c r="V984" i="1"/>
  <c r="W984" i="1" s="1"/>
  <c r="V983" i="1"/>
  <c r="W983" i="1" s="1"/>
  <c r="V982" i="1"/>
  <c r="W982" i="1" s="1"/>
  <c r="V981" i="1"/>
  <c r="W981" i="1" s="1"/>
  <c r="V980" i="1"/>
  <c r="W980" i="1" s="1"/>
  <c r="V979" i="1"/>
  <c r="W979" i="1" s="1"/>
  <c r="V978" i="1"/>
  <c r="W978" i="1" s="1"/>
  <c r="V977" i="1"/>
  <c r="W977" i="1" s="1"/>
  <c r="V976" i="1"/>
  <c r="W976" i="1" s="1"/>
  <c r="V975" i="1"/>
  <c r="W975" i="1" s="1"/>
  <c r="V974" i="1"/>
  <c r="W974" i="1" s="1"/>
  <c r="V973" i="1"/>
  <c r="W973" i="1" s="1"/>
  <c r="V972" i="1"/>
  <c r="W972" i="1" s="1"/>
  <c r="V971" i="1"/>
  <c r="W971" i="1" s="1"/>
  <c r="V970" i="1"/>
  <c r="W970" i="1" s="1"/>
  <c r="V969" i="1"/>
  <c r="W969" i="1" s="1"/>
  <c r="V968" i="1"/>
  <c r="W968" i="1" s="1"/>
  <c r="V967" i="1"/>
  <c r="W967" i="1" s="1"/>
  <c r="V966" i="1"/>
  <c r="W966" i="1" s="1"/>
  <c r="V965" i="1"/>
  <c r="W965" i="1" s="1"/>
  <c r="V964" i="1"/>
  <c r="W964" i="1" s="1"/>
  <c r="V963" i="1"/>
  <c r="W963" i="1" s="1"/>
  <c r="V962" i="1"/>
  <c r="W962" i="1" s="1"/>
  <c r="V961" i="1"/>
  <c r="W961" i="1" s="1"/>
  <c r="V960" i="1"/>
  <c r="W960" i="1" s="1"/>
  <c r="V959" i="1"/>
  <c r="W959" i="1" s="1"/>
  <c r="V958" i="1"/>
  <c r="W958" i="1" s="1"/>
  <c r="V957" i="1"/>
  <c r="W957" i="1" s="1"/>
  <c r="V956" i="1"/>
  <c r="W956" i="1" s="1"/>
  <c r="V955" i="1"/>
  <c r="W955" i="1" s="1"/>
  <c r="V954" i="1"/>
  <c r="W954" i="1" s="1"/>
  <c r="V953" i="1"/>
  <c r="W953" i="1" s="1"/>
  <c r="V952" i="1"/>
  <c r="W952" i="1" s="1"/>
  <c r="V951" i="1"/>
  <c r="W951" i="1" s="1"/>
  <c r="V950" i="1"/>
  <c r="W950" i="1" s="1"/>
  <c r="V949" i="1"/>
  <c r="W949" i="1" s="1"/>
  <c r="V948" i="1"/>
  <c r="W948" i="1" s="1"/>
  <c r="V947" i="1"/>
  <c r="W947" i="1" s="1"/>
  <c r="V946" i="1"/>
  <c r="W946" i="1" s="1"/>
  <c r="V945" i="1"/>
  <c r="W945" i="1" s="1"/>
  <c r="V944" i="1"/>
  <c r="W944" i="1" s="1"/>
  <c r="V943" i="1"/>
  <c r="W943" i="1" s="1"/>
  <c r="V942" i="1"/>
  <c r="W942" i="1" s="1"/>
  <c r="V941" i="1"/>
  <c r="W941" i="1" s="1"/>
  <c r="V940" i="1"/>
  <c r="W940" i="1" s="1"/>
  <c r="V939" i="1"/>
  <c r="W939" i="1" s="1"/>
  <c r="V938" i="1"/>
  <c r="W938" i="1" s="1"/>
  <c r="V937" i="1"/>
  <c r="W937" i="1" s="1"/>
  <c r="V936" i="1"/>
  <c r="W936" i="1" s="1"/>
  <c r="V935" i="1"/>
  <c r="W935" i="1" s="1"/>
  <c r="V934" i="1"/>
  <c r="W934" i="1" s="1"/>
  <c r="V933" i="1"/>
  <c r="W933" i="1" s="1"/>
  <c r="V932" i="1"/>
  <c r="W932" i="1" s="1"/>
  <c r="V931" i="1"/>
  <c r="W931" i="1" s="1"/>
  <c r="V930" i="1"/>
  <c r="W930" i="1" s="1"/>
  <c r="V929" i="1"/>
  <c r="W929" i="1" s="1"/>
  <c r="V928" i="1"/>
  <c r="W928" i="1" s="1"/>
  <c r="V927" i="1"/>
  <c r="W927" i="1" s="1"/>
  <c r="V926" i="1"/>
  <c r="W926" i="1" s="1"/>
  <c r="V925" i="1"/>
  <c r="W925" i="1" s="1"/>
  <c r="V924" i="1"/>
  <c r="W924" i="1" s="1"/>
  <c r="V923" i="1"/>
  <c r="W923" i="1" s="1"/>
  <c r="V922" i="1"/>
  <c r="W922" i="1" s="1"/>
  <c r="V921" i="1"/>
  <c r="W921" i="1" s="1"/>
  <c r="V920" i="1"/>
  <c r="W920" i="1" s="1"/>
  <c r="V919" i="1"/>
  <c r="W919" i="1" s="1"/>
  <c r="V918" i="1"/>
  <c r="W918" i="1" s="1"/>
  <c r="V917" i="1"/>
  <c r="W917" i="1" s="1"/>
  <c r="V916" i="1"/>
  <c r="W916" i="1" s="1"/>
  <c r="V915" i="1"/>
  <c r="W915" i="1" s="1"/>
  <c r="V914" i="1"/>
  <c r="W914" i="1" s="1"/>
  <c r="V913" i="1"/>
  <c r="W913" i="1" s="1"/>
  <c r="V912" i="1"/>
  <c r="W912" i="1" s="1"/>
  <c r="V911" i="1"/>
  <c r="W911" i="1" s="1"/>
  <c r="V910" i="1"/>
  <c r="W910" i="1" s="1"/>
  <c r="V909" i="1"/>
  <c r="W909" i="1" s="1"/>
  <c r="V908" i="1"/>
  <c r="W908" i="1" s="1"/>
  <c r="V907" i="1"/>
  <c r="W907" i="1" s="1"/>
  <c r="V906" i="1"/>
  <c r="W906" i="1" s="1"/>
  <c r="V905" i="1"/>
  <c r="W905" i="1" s="1"/>
  <c r="V904" i="1"/>
  <c r="W904" i="1" s="1"/>
  <c r="V903" i="1"/>
  <c r="W903" i="1" s="1"/>
  <c r="V902" i="1"/>
  <c r="W902" i="1" s="1"/>
  <c r="V901" i="1"/>
  <c r="W901" i="1" s="1"/>
  <c r="V900" i="1"/>
  <c r="W900" i="1" s="1"/>
  <c r="V899" i="1"/>
  <c r="W899" i="1" s="1"/>
  <c r="V898" i="1"/>
  <c r="W898" i="1" s="1"/>
  <c r="V897" i="1"/>
  <c r="W897" i="1" s="1"/>
  <c r="V896" i="1"/>
  <c r="W896" i="1" s="1"/>
  <c r="V895" i="1"/>
  <c r="W895" i="1" s="1"/>
  <c r="V894" i="1"/>
  <c r="W894" i="1" s="1"/>
  <c r="V893" i="1"/>
  <c r="W893" i="1" s="1"/>
  <c r="V892" i="1"/>
  <c r="W892" i="1" s="1"/>
  <c r="V891" i="1"/>
  <c r="W891" i="1" s="1"/>
  <c r="V890" i="1"/>
  <c r="W890" i="1" s="1"/>
  <c r="V889" i="1"/>
  <c r="W889" i="1" s="1"/>
  <c r="V888" i="1"/>
  <c r="W888" i="1" s="1"/>
  <c r="V887" i="1"/>
  <c r="W887" i="1" s="1"/>
  <c r="V886" i="1"/>
  <c r="W886" i="1" s="1"/>
  <c r="V885" i="1"/>
  <c r="W885" i="1" s="1"/>
  <c r="V884" i="1"/>
  <c r="W884" i="1" s="1"/>
  <c r="V883" i="1"/>
  <c r="W883" i="1" s="1"/>
  <c r="V882" i="1"/>
  <c r="W882" i="1" s="1"/>
  <c r="V881" i="1"/>
  <c r="W881" i="1" s="1"/>
  <c r="V880" i="1"/>
  <c r="W880" i="1" s="1"/>
  <c r="V879" i="1"/>
  <c r="W879" i="1" s="1"/>
  <c r="V878" i="1"/>
  <c r="W878" i="1" s="1"/>
  <c r="V877" i="1"/>
  <c r="W877" i="1" s="1"/>
  <c r="V876" i="1"/>
  <c r="W876" i="1" s="1"/>
  <c r="V875" i="1"/>
  <c r="W875" i="1" s="1"/>
  <c r="V874" i="1"/>
  <c r="W874" i="1" s="1"/>
  <c r="V873" i="1"/>
  <c r="W873" i="1" s="1"/>
  <c r="V872" i="1"/>
  <c r="W872" i="1" s="1"/>
  <c r="V871" i="1"/>
  <c r="W871" i="1" s="1"/>
  <c r="V870" i="1"/>
  <c r="W870" i="1" s="1"/>
  <c r="V869" i="1"/>
  <c r="W869" i="1" s="1"/>
  <c r="V868" i="1"/>
  <c r="W868" i="1" s="1"/>
  <c r="V867" i="1"/>
  <c r="W867" i="1" s="1"/>
  <c r="V866" i="1"/>
  <c r="W866" i="1" s="1"/>
  <c r="V865" i="1"/>
  <c r="W865" i="1" s="1"/>
  <c r="V864" i="1"/>
  <c r="W864" i="1" s="1"/>
  <c r="V863" i="1"/>
  <c r="W863" i="1" s="1"/>
  <c r="V862" i="1"/>
  <c r="W862" i="1" s="1"/>
  <c r="V861" i="1"/>
  <c r="W861" i="1" s="1"/>
  <c r="V860" i="1"/>
  <c r="W860" i="1" s="1"/>
  <c r="V859" i="1"/>
  <c r="W859" i="1" s="1"/>
  <c r="V858" i="1"/>
  <c r="W858" i="1" s="1"/>
  <c r="V857" i="1"/>
  <c r="W857" i="1" s="1"/>
  <c r="V856" i="1"/>
  <c r="W856" i="1" s="1"/>
  <c r="V855" i="1"/>
  <c r="W855" i="1" s="1"/>
  <c r="V854" i="1"/>
  <c r="W854" i="1" s="1"/>
  <c r="V853" i="1"/>
  <c r="W853" i="1" s="1"/>
  <c r="V852" i="1"/>
  <c r="W852" i="1" s="1"/>
  <c r="V851" i="1"/>
  <c r="W851" i="1" s="1"/>
  <c r="V850" i="1"/>
  <c r="W850" i="1" s="1"/>
  <c r="V849" i="1"/>
  <c r="W849" i="1" s="1"/>
  <c r="V848" i="1"/>
  <c r="W848" i="1" s="1"/>
  <c r="V847" i="1"/>
  <c r="W847" i="1" s="1"/>
  <c r="V846" i="1"/>
  <c r="W846" i="1" s="1"/>
  <c r="V845" i="1"/>
  <c r="W845" i="1" s="1"/>
  <c r="V844" i="1"/>
  <c r="W844" i="1" s="1"/>
  <c r="V843" i="1"/>
  <c r="W843" i="1" s="1"/>
  <c r="V842" i="1"/>
  <c r="W842" i="1" s="1"/>
  <c r="V841" i="1"/>
  <c r="W841" i="1" s="1"/>
  <c r="V840" i="1"/>
  <c r="W840" i="1" s="1"/>
  <c r="V839" i="1"/>
  <c r="W839" i="1" s="1"/>
  <c r="V838" i="1"/>
  <c r="W838" i="1" s="1"/>
  <c r="V837" i="1"/>
  <c r="W837" i="1" s="1"/>
  <c r="V836" i="1"/>
  <c r="W836" i="1" s="1"/>
  <c r="V835" i="1"/>
  <c r="W835" i="1" s="1"/>
  <c r="V834" i="1"/>
  <c r="W834" i="1" s="1"/>
  <c r="V833" i="1"/>
  <c r="W833" i="1" s="1"/>
  <c r="V832" i="1"/>
  <c r="W832" i="1" s="1"/>
  <c r="V831" i="1"/>
  <c r="W831" i="1" s="1"/>
  <c r="V830" i="1"/>
  <c r="W830" i="1" s="1"/>
  <c r="V829" i="1"/>
  <c r="W829" i="1" s="1"/>
  <c r="V828" i="1"/>
  <c r="W828" i="1" s="1"/>
  <c r="V827" i="1"/>
  <c r="W827" i="1" s="1"/>
  <c r="V826" i="1"/>
  <c r="W826" i="1" s="1"/>
  <c r="V825" i="1"/>
  <c r="W825" i="1" s="1"/>
  <c r="V824" i="1"/>
  <c r="W824" i="1" s="1"/>
  <c r="V823" i="1"/>
  <c r="W823" i="1" s="1"/>
  <c r="V822" i="1"/>
  <c r="W822" i="1" s="1"/>
  <c r="V821" i="1"/>
  <c r="W821" i="1" s="1"/>
  <c r="V820" i="1"/>
  <c r="W820" i="1" s="1"/>
  <c r="V819" i="1"/>
  <c r="W819" i="1" s="1"/>
  <c r="V818" i="1"/>
  <c r="W818" i="1" s="1"/>
  <c r="V817" i="1"/>
  <c r="W817" i="1" s="1"/>
  <c r="V816" i="1"/>
  <c r="W816" i="1" s="1"/>
  <c r="V815" i="1"/>
  <c r="W815" i="1" s="1"/>
  <c r="V814" i="1"/>
  <c r="W814" i="1" s="1"/>
  <c r="V813" i="1"/>
  <c r="W813" i="1" s="1"/>
  <c r="V812" i="1"/>
  <c r="W812" i="1" s="1"/>
  <c r="V811" i="1"/>
  <c r="W811" i="1" s="1"/>
  <c r="V810" i="1"/>
  <c r="W810" i="1" s="1"/>
  <c r="V809" i="1"/>
  <c r="W809" i="1" s="1"/>
  <c r="V808" i="1"/>
  <c r="W808" i="1" s="1"/>
  <c r="V807" i="1"/>
  <c r="W807" i="1" s="1"/>
  <c r="V806" i="1"/>
  <c r="W806" i="1" s="1"/>
  <c r="V805" i="1"/>
  <c r="W805" i="1" s="1"/>
  <c r="V804" i="1"/>
  <c r="W804" i="1" s="1"/>
  <c r="V803" i="1"/>
  <c r="W803" i="1" s="1"/>
  <c r="V802" i="1"/>
  <c r="W802" i="1" s="1"/>
  <c r="V801" i="1"/>
  <c r="W801" i="1" s="1"/>
  <c r="V800" i="1"/>
  <c r="W800" i="1" s="1"/>
  <c r="V799" i="1"/>
  <c r="W799" i="1" s="1"/>
  <c r="V798" i="1"/>
  <c r="W798" i="1" s="1"/>
  <c r="V797" i="1"/>
  <c r="W797" i="1" s="1"/>
  <c r="V796" i="1"/>
  <c r="W796" i="1" s="1"/>
  <c r="V795" i="1"/>
  <c r="W795" i="1" s="1"/>
  <c r="V794" i="1"/>
  <c r="W794" i="1" s="1"/>
  <c r="V793" i="1"/>
  <c r="W793" i="1" s="1"/>
  <c r="V792" i="1"/>
  <c r="W792" i="1" s="1"/>
  <c r="V791" i="1"/>
  <c r="W791" i="1" s="1"/>
  <c r="V790" i="1"/>
  <c r="W790" i="1" s="1"/>
  <c r="V789" i="1"/>
  <c r="W789" i="1" s="1"/>
  <c r="V788" i="1"/>
  <c r="W788" i="1" s="1"/>
  <c r="V787" i="1"/>
  <c r="W787" i="1" s="1"/>
  <c r="V786" i="1"/>
  <c r="W786" i="1" s="1"/>
  <c r="V785" i="1"/>
  <c r="W785" i="1" s="1"/>
  <c r="V784" i="1"/>
  <c r="W784" i="1" s="1"/>
  <c r="V783" i="1"/>
  <c r="W783" i="1" s="1"/>
  <c r="V782" i="1"/>
  <c r="W782" i="1" s="1"/>
  <c r="V781" i="1"/>
  <c r="W781" i="1" s="1"/>
  <c r="V780" i="1"/>
  <c r="W780" i="1" s="1"/>
  <c r="V779" i="1"/>
  <c r="W779" i="1" s="1"/>
  <c r="V778" i="1"/>
  <c r="W778" i="1" s="1"/>
  <c r="V777" i="1"/>
  <c r="W777" i="1" s="1"/>
  <c r="V776" i="1"/>
  <c r="W776" i="1" s="1"/>
  <c r="V775" i="1"/>
  <c r="W775" i="1" s="1"/>
  <c r="V774" i="1"/>
  <c r="W774" i="1" s="1"/>
  <c r="V773" i="1"/>
  <c r="W773" i="1" s="1"/>
  <c r="V772" i="1"/>
  <c r="W772" i="1" s="1"/>
  <c r="V771" i="1"/>
  <c r="W771" i="1" s="1"/>
  <c r="V770" i="1"/>
  <c r="W770" i="1" s="1"/>
  <c r="V769" i="1"/>
  <c r="W769" i="1" s="1"/>
  <c r="V768" i="1"/>
  <c r="W768" i="1" s="1"/>
  <c r="V767" i="1"/>
  <c r="W767" i="1" s="1"/>
  <c r="V766" i="1"/>
  <c r="W766" i="1" s="1"/>
  <c r="V765" i="1"/>
  <c r="W765" i="1" s="1"/>
  <c r="V764" i="1"/>
  <c r="W764" i="1" s="1"/>
  <c r="V763" i="1"/>
  <c r="W763" i="1" s="1"/>
  <c r="V762" i="1"/>
  <c r="W762" i="1" s="1"/>
  <c r="V761" i="1"/>
  <c r="W761" i="1" s="1"/>
  <c r="V760" i="1"/>
  <c r="W760" i="1" s="1"/>
  <c r="V759" i="1"/>
  <c r="W759" i="1" s="1"/>
  <c r="V758" i="1"/>
  <c r="W758" i="1" s="1"/>
  <c r="V757" i="1"/>
  <c r="W757" i="1" s="1"/>
  <c r="V756" i="1"/>
  <c r="W756" i="1" s="1"/>
  <c r="V755" i="1"/>
  <c r="W755" i="1" s="1"/>
  <c r="V754" i="1"/>
  <c r="W754" i="1" s="1"/>
  <c r="V753" i="1"/>
  <c r="W753" i="1" s="1"/>
  <c r="V752" i="1"/>
  <c r="W752" i="1" s="1"/>
  <c r="V751" i="1"/>
  <c r="W751" i="1" s="1"/>
  <c r="V750" i="1"/>
  <c r="W750" i="1" s="1"/>
  <c r="V749" i="1"/>
  <c r="W749" i="1" s="1"/>
  <c r="V748" i="1"/>
  <c r="W748" i="1" s="1"/>
  <c r="V747" i="1"/>
  <c r="W747" i="1" s="1"/>
  <c r="V746" i="1"/>
  <c r="W746" i="1" s="1"/>
  <c r="V745" i="1"/>
  <c r="W745" i="1" s="1"/>
  <c r="V744" i="1"/>
  <c r="W744" i="1" s="1"/>
  <c r="V743" i="1"/>
  <c r="W743" i="1" s="1"/>
  <c r="V742" i="1"/>
  <c r="W742" i="1" s="1"/>
  <c r="V741" i="1"/>
  <c r="W741" i="1" s="1"/>
  <c r="V740" i="1"/>
  <c r="W740" i="1" s="1"/>
  <c r="V739" i="1"/>
  <c r="W739" i="1" s="1"/>
  <c r="V738" i="1"/>
  <c r="W738" i="1" s="1"/>
  <c r="V737" i="1"/>
  <c r="W737" i="1" s="1"/>
  <c r="V736" i="1"/>
  <c r="W736" i="1" s="1"/>
  <c r="V735" i="1"/>
  <c r="W735" i="1" s="1"/>
  <c r="V734" i="1"/>
  <c r="W734" i="1" s="1"/>
  <c r="V733" i="1"/>
  <c r="W733" i="1" s="1"/>
  <c r="V732" i="1"/>
  <c r="W732" i="1" s="1"/>
  <c r="V731" i="1"/>
  <c r="W731" i="1" s="1"/>
  <c r="V730" i="1"/>
  <c r="W730" i="1" s="1"/>
  <c r="V729" i="1"/>
  <c r="W729" i="1" s="1"/>
  <c r="V728" i="1"/>
  <c r="W728" i="1" s="1"/>
  <c r="V727" i="1"/>
  <c r="W727" i="1" s="1"/>
  <c r="V726" i="1"/>
  <c r="W726" i="1" s="1"/>
  <c r="V725" i="1"/>
  <c r="W725" i="1" s="1"/>
  <c r="V724" i="1"/>
  <c r="W724" i="1" s="1"/>
  <c r="V723" i="1"/>
  <c r="W723" i="1" s="1"/>
  <c r="V722" i="1"/>
  <c r="W722" i="1" s="1"/>
  <c r="V721" i="1"/>
  <c r="W721" i="1" s="1"/>
  <c r="V720" i="1"/>
  <c r="W720" i="1" s="1"/>
  <c r="V719" i="1"/>
  <c r="W719" i="1" s="1"/>
  <c r="V718" i="1"/>
  <c r="W718" i="1" s="1"/>
  <c r="V717" i="1"/>
  <c r="W717" i="1" s="1"/>
  <c r="V716" i="1"/>
  <c r="W716" i="1" s="1"/>
  <c r="V715" i="1"/>
  <c r="W715" i="1" s="1"/>
  <c r="V714" i="1"/>
  <c r="W714" i="1" s="1"/>
  <c r="V713" i="1"/>
  <c r="W713" i="1" s="1"/>
  <c r="V712" i="1"/>
  <c r="W712" i="1" s="1"/>
  <c r="V711" i="1"/>
  <c r="W711" i="1" s="1"/>
  <c r="V710" i="1"/>
  <c r="W710" i="1" s="1"/>
  <c r="V709" i="1"/>
  <c r="W709" i="1" s="1"/>
  <c r="V708" i="1"/>
  <c r="W708" i="1" s="1"/>
  <c r="V707" i="1"/>
  <c r="W707" i="1" s="1"/>
  <c r="V706" i="1"/>
  <c r="W706" i="1" s="1"/>
  <c r="V705" i="1"/>
  <c r="W705" i="1" s="1"/>
  <c r="V704" i="1"/>
  <c r="W704" i="1" s="1"/>
  <c r="V703" i="1"/>
  <c r="W703" i="1" s="1"/>
  <c r="V702" i="1"/>
  <c r="W702" i="1" s="1"/>
  <c r="V701" i="1"/>
  <c r="W701" i="1" s="1"/>
  <c r="V700" i="1"/>
  <c r="W700" i="1" s="1"/>
  <c r="V699" i="1"/>
  <c r="W699" i="1" s="1"/>
  <c r="V698" i="1"/>
  <c r="W698" i="1" s="1"/>
  <c r="V697" i="1"/>
  <c r="W697" i="1" s="1"/>
  <c r="V696" i="1"/>
  <c r="W696" i="1" s="1"/>
  <c r="V695" i="1"/>
  <c r="W695" i="1" s="1"/>
  <c r="V694" i="1"/>
  <c r="W694" i="1" s="1"/>
  <c r="V693" i="1"/>
  <c r="W693" i="1" s="1"/>
  <c r="V692" i="1"/>
  <c r="W692" i="1" s="1"/>
  <c r="V691" i="1"/>
  <c r="W691" i="1" s="1"/>
  <c r="V690" i="1"/>
  <c r="W690" i="1" s="1"/>
  <c r="V689" i="1"/>
  <c r="W689" i="1" s="1"/>
  <c r="V688" i="1"/>
  <c r="W688" i="1" s="1"/>
  <c r="V687" i="1"/>
  <c r="W687" i="1" s="1"/>
  <c r="V686" i="1"/>
  <c r="W686" i="1" s="1"/>
  <c r="V685" i="1"/>
  <c r="W685" i="1" s="1"/>
  <c r="V684" i="1"/>
  <c r="W684" i="1" s="1"/>
  <c r="V683" i="1"/>
  <c r="W683" i="1" s="1"/>
  <c r="V682" i="1"/>
  <c r="W682" i="1" s="1"/>
  <c r="V681" i="1"/>
  <c r="W681" i="1" s="1"/>
  <c r="V680" i="1"/>
  <c r="W680" i="1" s="1"/>
  <c r="V679" i="1"/>
  <c r="W679" i="1" s="1"/>
  <c r="V678" i="1"/>
  <c r="W678" i="1" s="1"/>
  <c r="V677" i="1"/>
  <c r="W677" i="1" s="1"/>
  <c r="V676" i="1"/>
  <c r="W676" i="1" s="1"/>
  <c r="V675" i="1"/>
  <c r="W675" i="1" s="1"/>
  <c r="V674" i="1"/>
  <c r="W674" i="1" s="1"/>
  <c r="V673" i="1"/>
  <c r="W673" i="1" s="1"/>
  <c r="V672" i="1"/>
  <c r="W672" i="1" s="1"/>
  <c r="V671" i="1"/>
  <c r="W671" i="1" s="1"/>
  <c r="V670" i="1"/>
  <c r="W670" i="1" s="1"/>
  <c r="V669" i="1"/>
  <c r="W669" i="1" s="1"/>
  <c r="V668" i="1"/>
  <c r="W668" i="1" s="1"/>
  <c r="V667" i="1"/>
  <c r="W667" i="1" s="1"/>
  <c r="V666" i="1"/>
  <c r="W666" i="1" s="1"/>
  <c r="V665" i="1"/>
  <c r="W665" i="1" s="1"/>
  <c r="V664" i="1"/>
  <c r="W664" i="1" s="1"/>
  <c r="V663" i="1"/>
  <c r="W663" i="1" s="1"/>
  <c r="V662" i="1"/>
  <c r="W662" i="1" s="1"/>
  <c r="V661" i="1"/>
  <c r="W661" i="1" s="1"/>
  <c r="V660" i="1"/>
  <c r="W660" i="1" s="1"/>
  <c r="V659" i="1"/>
  <c r="W659" i="1" s="1"/>
  <c r="V658" i="1"/>
  <c r="W658" i="1" s="1"/>
  <c r="V657" i="1"/>
  <c r="W657" i="1" s="1"/>
  <c r="V656" i="1"/>
  <c r="W656" i="1" s="1"/>
  <c r="V655" i="1"/>
  <c r="W655" i="1" s="1"/>
  <c r="V654" i="1"/>
  <c r="W654" i="1" s="1"/>
  <c r="V653" i="1"/>
  <c r="V652" i="1"/>
  <c r="W652" i="1" s="1"/>
  <c r="V651" i="1"/>
  <c r="W651" i="1" s="1"/>
  <c r="V650" i="1"/>
  <c r="W650" i="1" s="1"/>
  <c r="V649" i="1"/>
  <c r="W649" i="1" s="1"/>
  <c r="V648" i="1"/>
  <c r="W648" i="1" s="1"/>
  <c r="V647" i="1"/>
  <c r="W647" i="1" s="1"/>
  <c r="V646" i="1"/>
  <c r="W646" i="1" s="1"/>
  <c r="V645" i="1"/>
  <c r="W645" i="1" s="1"/>
  <c r="V644" i="1"/>
  <c r="W644" i="1" s="1"/>
  <c r="V643" i="1"/>
  <c r="W643" i="1" s="1"/>
  <c r="V642" i="1"/>
  <c r="W642" i="1" s="1"/>
  <c r="V641" i="1"/>
  <c r="W641" i="1" s="1"/>
  <c r="V640" i="1"/>
  <c r="W640" i="1" s="1"/>
  <c r="V639" i="1"/>
  <c r="W639" i="1" s="1"/>
  <c r="V638" i="1"/>
  <c r="W638" i="1" s="1"/>
  <c r="V637" i="1"/>
  <c r="W637" i="1" s="1"/>
  <c r="V636" i="1"/>
  <c r="W636" i="1" s="1"/>
  <c r="V635" i="1"/>
  <c r="W635" i="1" s="1"/>
  <c r="V634" i="1"/>
  <c r="W634" i="1" s="1"/>
  <c r="V633" i="1"/>
  <c r="W633" i="1" s="1"/>
  <c r="V632" i="1"/>
  <c r="W632" i="1" s="1"/>
  <c r="V631" i="1"/>
  <c r="W631" i="1" s="1"/>
  <c r="V630" i="1"/>
  <c r="W630" i="1" s="1"/>
  <c r="V629" i="1"/>
  <c r="W629" i="1" s="1"/>
  <c r="V628" i="1"/>
  <c r="W628" i="1" s="1"/>
  <c r="V627" i="1"/>
  <c r="W627" i="1" s="1"/>
  <c r="V626" i="1"/>
  <c r="W626" i="1" s="1"/>
  <c r="V625" i="1"/>
  <c r="W625" i="1" s="1"/>
  <c r="V624" i="1"/>
  <c r="W624" i="1" s="1"/>
  <c r="V623" i="1"/>
  <c r="W623" i="1" s="1"/>
  <c r="V622" i="1"/>
  <c r="W622" i="1" s="1"/>
  <c r="V621" i="1"/>
  <c r="W621" i="1" s="1"/>
  <c r="V620" i="1"/>
  <c r="W620" i="1" s="1"/>
  <c r="V619" i="1"/>
  <c r="W619" i="1" s="1"/>
  <c r="V618" i="1"/>
  <c r="W618" i="1" s="1"/>
  <c r="V617" i="1"/>
  <c r="W617" i="1" s="1"/>
  <c r="V616" i="1"/>
  <c r="W616" i="1" s="1"/>
  <c r="V615" i="1"/>
  <c r="W615" i="1" s="1"/>
  <c r="V614" i="1"/>
  <c r="W614" i="1" s="1"/>
  <c r="V613" i="1"/>
  <c r="W613" i="1" s="1"/>
  <c r="V612" i="1"/>
  <c r="W612" i="1" s="1"/>
  <c r="V611" i="1"/>
  <c r="W611" i="1" s="1"/>
  <c r="V610" i="1"/>
  <c r="W610" i="1" s="1"/>
  <c r="V609" i="1"/>
  <c r="W609" i="1" s="1"/>
  <c r="V608" i="1"/>
  <c r="W608" i="1" s="1"/>
  <c r="V607" i="1"/>
  <c r="W607" i="1" s="1"/>
  <c r="V606" i="1"/>
  <c r="W606" i="1" s="1"/>
  <c r="V605" i="1"/>
  <c r="W605" i="1" s="1"/>
  <c r="V604" i="1"/>
  <c r="W604" i="1" s="1"/>
  <c r="V603" i="1"/>
  <c r="W603" i="1" s="1"/>
  <c r="V602" i="1"/>
  <c r="W602" i="1" s="1"/>
  <c r="V601" i="1"/>
  <c r="W601" i="1" s="1"/>
  <c r="V600" i="1"/>
  <c r="W600" i="1" s="1"/>
  <c r="V599" i="1"/>
  <c r="W599" i="1" s="1"/>
  <c r="V598" i="1"/>
  <c r="W598" i="1" s="1"/>
  <c r="V597" i="1"/>
  <c r="W597" i="1" s="1"/>
  <c r="V596" i="1"/>
  <c r="W596" i="1" s="1"/>
  <c r="V595" i="1"/>
  <c r="W595" i="1" s="1"/>
  <c r="V594" i="1"/>
  <c r="W594" i="1" s="1"/>
  <c r="V593" i="1"/>
  <c r="W593" i="1" s="1"/>
  <c r="V592" i="1"/>
  <c r="W592" i="1" s="1"/>
  <c r="V591" i="1"/>
  <c r="W591" i="1" s="1"/>
  <c r="V590" i="1"/>
  <c r="W590" i="1" s="1"/>
  <c r="V589" i="1"/>
  <c r="W589" i="1" s="1"/>
  <c r="V588" i="1"/>
  <c r="W588" i="1" s="1"/>
  <c r="V587" i="1"/>
  <c r="W587" i="1" s="1"/>
  <c r="V586" i="1"/>
  <c r="W586" i="1" s="1"/>
  <c r="V585" i="1"/>
  <c r="W585" i="1" s="1"/>
  <c r="V584" i="1"/>
  <c r="W584" i="1" s="1"/>
  <c r="V583" i="1"/>
  <c r="W583" i="1" s="1"/>
  <c r="V582" i="1"/>
  <c r="W582" i="1" s="1"/>
  <c r="V581" i="1"/>
  <c r="W581" i="1" s="1"/>
  <c r="V580" i="1"/>
  <c r="W580" i="1" s="1"/>
  <c r="V579" i="1"/>
  <c r="W579" i="1" s="1"/>
  <c r="V578" i="1"/>
  <c r="W578" i="1" s="1"/>
  <c r="V577" i="1"/>
  <c r="W577" i="1" s="1"/>
  <c r="V576" i="1"/>
  <c r="W576" i="1" s="1"/>
  <c r="V575" i="1"/>
  <c r="W575" i="1" s="1"/>
  <c r="V574" i="1"/>
  <c r="W574" i="1" s="1"/>
  <c r="V573" i="1"/>
  <c r="W573" i="1" s="1"/>
  <c r="V572" i="1"/>
  <c r="W572" i="1" s="1"/>
  <c r="V571" i="1"/>
  <c r="W571" i="1" s="1"/>
  <c r="V570" i="1"/>
  <c r="W570" i="1" s="1"/>
  <c r="V569" i="1"/>
  <c r="W569" i="1" s="1"/>
  <c r="V568" i="1"/>
  <c r="W568" i="1" s="1"/>
  <c r="V567" i="1"/>
  <c r="W567" i="1" s="1"/>
  <c r="V566" i="1"/>
  <c r="W566" i="1" s="1"/>
  <c r="V565" i="1"/>
  <c r="W565" i="1" s="1"/>
  <c r="V564" i="1"/>
  <c r="W564" i="1" s="1"/>
  <c r="V563" i="1"/>
  <c r="W563" i="1" s="1"/>
  <c r="V562" i="1"/>
  <c r="W562" i="1" s="1"/>
  <c r="V561" i="1"/>
  <c r="W561" i="1" s="1"/>
  <c r="V560" i="1"/>
  <c r="W560" i="1" s="1"/>
  <c r="V559" i="1"/>
  <c r="W559" i="1" s="1"/>
  <c r="V558" i="1"/>
  <c r="W558" i="1" s="1"/>
  <c r="V557" i="1"/>
  <c r="W557" i="1" s="1"/>
  <c r="V556" i="1"/>
  <c r="W556" i="1" s="1"/>
  <c r="V555" i="1"/>
  <c r="W555" i="1" s="1"/>
  <c r="V554" i="1"/>
  <c r="W554" i="1" s="1"/>
  <c r="V553" i="1"/>
  <c r="W553" i="1" s="1"/>
  <c r="V552" i="1"/>
  <c r="W552" i="1" s="1"/>
  <c r="V551" i="1"/>
  <c r="W551" i="1" s="1"/>
  <c r="V550" i="1"/>
  <c r="W550" i="1" s="1"/>
  <c r="V549" i="1"/>
  <c r="W549" i="1" s="1"/>
  <c r="V548" i="1"/>
  <c r="W548" i="1" s="1"/>
  <c r="V547" i="1"/>
  <c r="W547" i="1" s="1"/>
  <c r="V546" i="1"/>
  <c r="W546" i="1" s="1"/>
  <c r="V545" i="1"/>
  <c r="W545" i="1" s="1"/>
  <c r="V544" i="1"/>
  <c r="W544" i="1" s="1"/>
  <c r="V543" i="1"/>
  <c r="W543" i="1" s="1"/>
  <c r="V542" i="1"/>
  <c r="W542" i="1" s="1"/>
  <c r="V541" i="1"/>
  <c r="W541" i="1" s="1"/>
  <c r="V540" i="1"/>
  <c r="W540" i="1" s="1"/>
  <c r="V539" i="1"/>
  <c r="W539" i="1" s="1"/>
  <c r="V538" i="1"/>
  <c r="W538" i="1" s="1"/>
  <c r="V537" i="1"/>
  <c r="W537" i="1" s="1"/>
  <c r="V536" i="1"/>
  <c r="W536" i="1" s="1"/>
  <c r="V535" i="1"/>
  <c r="W535" i="1" s="1"/>
  <c r="V534" i="1"/>
  <c r="W534" i="1" s="1"/>
  <c r="V533" i="1"/>
  <c r="W533" i="1" s="1"/>
  <c r="V532" i="1"/>
  <c r="W532" i="1" s="1"/>
  <c r="V531" i="1"/>
  <c r="W531" i="1" s="1"/>
  <c r="V530" i="1"/>
  <c r="W530" i="1" s="1"/>
  <c r="V529" i="1"/>
  <c r="W529" i="1" s="1"/>
  <c r="V528" i="1"/>
  <c r="W528" i="1" s="1"/>
  <c r="V527" i="1"/>
  <c r="W527" i="1" s="1"/>
  <c r="V526" i="1"/>
  <c r="W526" i="1" s="1"/>
  <c r="V525" i="1"/>
  <c r="W525" i="1" s="1"/>
  <c r="V524" i="1"/>
  <c r="W524" i="1" s="1"/>
  <c r="V523" i="1"/>
  <c r="W523" i="1" s="1"/>
  <c r="V522" i="1"/>
  <c r="W522" i="1" s="1"/>
  <c r="V521" i="1"/>
  <c r="W521" i="1" s="1"/>
  <c r="V520" i="1"/>
  <c r="W520" i="1" s="1"/>
  <c r="V519" i="1"/>
  <c r="W519" i="1" s="1"/>
  <c r="V518" i="1"/>
  <c r="W518" i="1" s="1"/>
  <c r="V517" i="1"/>
  <c r="W517" i="1" s="1"/>
  <c r="V516" i="1"/>
  <c r="W516" i="1" s="1"/>
  <c r="V515" i="1"/>
  <c r="W515" i="1" s="1"/>
  <c r="V514" i="1"/>
  <c r="W514" i="1" s="1"/>
  <c r="V513" i="1"/>
  <c r="W513" i="1" s="1"/>
  <c r="V512" i="1"/>
  <c r="W512" i="1" s="1"/>
  <c r="V511" i="1"/>
  <c r="W511" i="1" s="1"/>
  <c r="V510" i="1"/>
  <c r="W510" i="1" s="1"/>
  <c r="V509" i="1"/>
  <c r="W509" i="1" s="1"/>
  <c r="V508" i="1"/>
  <c r="W508" i="1" s="1"/>
  <c r="V507" i="1"/>
  <c r="W507" i="1" s="1"/>
  <c r="V506" i="1"/>
  <c r="W506" i="1" s="1"/>
  <c r="V505" i="1"/>
  <c r="W505" i="1" s="1"/>
  <c r="V504" i="1"/>
  <c r="W504" i="1" s="1"/>
  <c r="V503" i="1"/>
  <c r="W503" i="1" s="1"/>
  <c r="V502" i="1"/>
  <c r="W502" i="1" s="1"/>
  <c r="V501" i="1"/>
  <c r="W501" i="1" s="1"/>
  <c r="V500" i="1"/>
  <c r="W500" i="1" s="1"/>
  <c r="V499" i="1"/>
  <c r="W499" i="1" s="1"/>
  <c r="V498" i="1"/>
  <c r="W498" i="1" s="1"/>
  <c r="V497" i="1"/>
  <c r="W497" i="1" s="1"/>
  <c r="V496" i="1"/>
  <c r="W496" i="1" s="1"/>
  <c r="V495" i="1"/>
  <c r="W495" i="1" s="1"/>
  <c r="V494" i="1"/>
  <c r="W494" i="1" s="1"/>
  <c r="V493" i="1"/>
  <c r="W493" i="1" s="1"/>
  <c r="V492" i="1"/>
  <c r="W492" i="1" s="1"/>
  <c r="V491" i="1"/>
  <c r="W491" i="1" s="1"/>
  <c r="V490" i="1"/>
  <c r="W490" i="1" s="1"/>
  <c r="V489" i="1"/>
  <c r="W489" i="1" s="1"/>
  <c r="V488" i="1"/>
  <c r="W488" i="1" s="1"/>
  <c r="V487" i="1"/>
  <c r="W487" i="1" s="1"/>
  <c r="V486" i="1"/>
  <c r="W486" i="1" s="1"/>
  <c r="V485" i="1"/>
  <c r="W485" i="1" s="1"/>
  <c r="V484" i="1"/>
  <c r="W484" i="1" s="1"/>
  <c r="V483" i="1"/>
  <c r="W483" i="1" s="1"/>
  <c r="V482" i="1"/>
  <c r="W482" i="1" s="1"/>
  <c r="V481" i="1"/>
  <c r="W481" i="1" s="1"/>
  <c r="V480" i="1"/>
  <c r="W480" i="1" s="1"/>
  <c r="V479" i="1"/>
  <c r="W479" i="1" s="1"/>
  <c r="V478" i="1"/>
  <c r="W478" i="1" s="1"/>
  <c r="V477" i="1"/>
  <c r="W477" i="1" s="1"/>
  <c r="V476" i="1"/>
  <c r="W476" i="1" s="1"/>
  <c r="V475" i="1"/>
  <c r="W475" i="1" s="1"/>
  <c r="V474" i="1"/>
  <c r="W474" i="1" s="1"/>
  <c r="V473" i="1"/>
  <c r="W473" i="1" s="1"/>
  <c r="V472" i="1"/>
  <c r="W472" i="1" s="1"/>
  <c r="V471" i="1"/>
  <c r="W471" i="1" s="1"/>
  <c r="V470" i="1"/>
  <c r="W470" i="1" s="1"/>
  <c r="V469" i="1"/>
  <c r="W469" i="1" s="1"/>
  <c r="V468" i="1"/>
  <c r="W468" i="1" s="1"/>
  <c r="V467" i="1"/>
  <c r="W467" i="1" s="1"/>
  <c r="V466" i="1"/>
  <c r="W466" i="1" s="1"/>
  <c r="V465" i="1"/>
  <c r="W465" i="1" s="1"/>
  <c r="V464" i="1"/>
  <c r="W464" i="1" s="1"/>
  <c r="V463" i="1"/>
  <c r="W463" i="1" s="1"/>
  <c r="V462" i="1"/>
  <c r="W462" i="1" s="1"/>
  <c r="V461" i="1"/>
  <c r="W461" i="1" s="1"/>
  <c r="V460" i="1"/>
  <c r="W460" i="1" s="1"/>
  <c r="V459" i="1"/>
  <c r="W459" i="1" s="1"/>
  <c r="V458" i="1"/>
  <c r="W458" i="1" s="1"/>
  <c r="V457" i="1"/>
  <c r="W457" i="1" s="1"/>
  <c r="V456" i="1"/>
  <c r="W456" i="1" s="1"/>
  <c r="V455" i="1"/>
  <c r="W455" i="1" s="1"/>
  <c r="V454" i="1"/>
  <c r="W454" i="1" s="1"/>
  <c r="V453" i="1"/>
  <c r="W453" i="1" s="1"/>
  <c r="V452" i="1"/>
  <c r="W452" i="1" s="1"/>
  <c r="V451" i="1"/>
  <c r="W451" i="1" s="1"/>
  <c r="V450" i="1"/>
  <c r="W450" i="1" s="1"/>
  <c r="V449" i="1"/>
  <c r="W449" i="1" s="1"/>
  <c r="V448" i="1"/>
  <c r="W448" i="1" s="1"/>
  <c r="V447" i="1"/>
  <c r="W447" i="1" s="1"/>
  <c r="V446" i="1"/>
  <c r="W446" i="1" s="1"/>
  <c r="V445" i="1"/>
  <c r="W445" i="1" s="1"/>
  <c r="V444" i="1"/>
  <c r="W444" i="1" s="1"/>
  <c r="V443" i="1"/>
  <c r="W443" i="1" s="1"/>
  <c r="V442" i="1"/>
  <c r="W442" i="1" s="1"/>
  <c r="V441" i="1"/>
  <c r="W441" i="1" s="1"/>
  <c r="V440" i="1"/>
  <c r="W440" i="1" s="1"/>
  <c r="V439" i="1"/>
  <c r="W439" i="1" s="1"/>
  <c r="V438" i="1"/>
  <c r="W438" i="1" s="1"/>
  <c r="V437" i="1"/>
  <c r="W437" i="1" s="1"/>
  <c r="V436" i="1"/>
  <c r="W436" i="1" s="1"/>
  <c r="V435" i="1"/>
  <c r="W435" i="1" s="1"/>
  <c r="V434" i="1"/>
  <c r="W434" i="1" s="1"/>
  <c r="V433" i="1"/>
  <c r="W433" i="1" s="1"/>
  <c r="V432" i="1"/>
  <c r="W432" i="1" s="1"/>
  <c r="V431" i="1"/>
  <c r="W431" i="1" s="1"/>
  <c r="V430" i="1"/>
  <c r="W430" i="1" s="1"/>
  <c r="V429" i="1"/>
  <c r="W429" i="1" s="1"/>
  <c r="V428" i="1"/>
  <c r="W428" i="1" s="1"/>
  <c r="V427" i="1"/>
  <c r="W427" i="1" s="1"/>
  <c r="V426" i="1"/>
  <c r="W426" i="1" s="1"/>
  <c r="V425" i="1"/>
  <c r="W425" i="1" s="1"/>
  <c r="V424" i="1"/>
  <c r="W424" i="1" s="1"/>
  <c r="V423" i="1"/>
  <c r="W423" i="1" s="1"/>
  <c r="V422" i="1"/>
  <c r="W422" i="1" s="1"/>
  <c r="V421" i="1"/>
  <c r="W421" i="1" s="1"/>
  <c r="V420" i="1"/>
  <c r="W420" i="1" s="1"/>
  <c r="V419" i="1"/>
  <c r="W419" i="1" s="1"/>
  <c r="V418" i="1"/>
  <c r="W418" i="1" s="1"/>
  <c r="V417" i="1"/>
  <c r="W417" i="1" s="1"/>
  <c r="V416" i="1"/>
  <c r="W416" i="1" s="1"/>
  <c r="V415" i="1"/>
  <c r="W415" i="1" s="1"/>
  <c r="V414" i="1"/>
  <c r="W414" i="1" s="1"/>
  <c r="V413" i="1"/>
  <c r="W413" i="1" s="1"/>
  <c r="V412" i="1"/>
  <c r="W412" i="1" s="1"/>
  <c r="V411" i="1"/>
  <c r="W411" i="1" s="1"/>
  <c r="V410" i="1"/>
  <c r="W410" i="1" s="1"/>
  <c r="V409" i="1"/>
  <c r="W409" i="1" s="1"/>
  <c r="V408" i="1"/>
  <c r="W408" i="1" s="1"/>
  <c r="V407" i="1"/>
  <c r="W407" i="1" s="1"/>
  <c r="V406" i="1"/>
  <c r="W406" i="1" s="1"/>
  <c r="V405" i="1"/>
  <c r="W405" i="1" s="1"/>
  <c r="V404" i="1"/>
  <c r="W404" i="1" s="1"/>
  <c r="V403" i="1"/>
  <c r="W403" i="1" s="1"/>
  <c r="V402" i="1"/>
  <c r="W402" i="1" s="1"/>
  <c r="V401" i="1"/>
  <c r="W401" i="1" s="1"/>
  <c r="V400" i="1"/>
  <c r="W400" i="1" s="1"/>
  <c r="V399" i="1"/>
  <c r="W399" i="1" s="1"/>
  <c r="V398" i="1"/>
  <c r="W398" i="1" s="1"/>
  <c r="V397" i="1"/>
  <c r="W397" i="1" s="1"/>
  <c r="V396" i="1"/>
  <c r="W396" i="1" s="1"/>
  <c r="V395" i="1"/>
  <c r="W395" i="1" s="1"/>
  <c r="V394" i="1"/>
  <c r="W394" i="1" s="1"/>
  <c r="V393" i="1"/>
  <c r="W393" i="1" s="1"/>
  <c r="V392" i="1"/>
  <c r="W392" i="1" s="1"/>
  <c r="V391" i="1"/>
  <c r="W391" i="1" s="1"/>
  <c r="V390" i="1"/>
  <c r="W390" i="1" s="1"/>
  <c r="V389" i="1"/>
  <c r="W389" i="1" s="1"/>
  <c r="V388" i="1"/>
  <c r="W388" i="1" s="1"/>
  <c r="V387" i="1"/>
  <c r="W387" i="1" s="1"/>
  <c r="V386" i="1"/>
  <c r="W386" i="1" s="1"/>
  <c r="V385" i="1"/>
  <c r="W385" i="1" s="1"/>
  <c r="V384" i="1"/>
  <c r="W384" i="1" s="1"/>
  <c r="V383" i="1"/>
  <c r="W383" i="1" s="1"/>
  <c r="V382" i="1"/>
  <c r="W382" i="1" s="1"/>
  <c r="V381" i="1"/>
  <c r="W381" i="1" s="1"/>
  <c r="V380" i="1"/>
  <c r="W380" i="1" s="1"/>
  <c r="V379" i="1"/>
  <c r="W379" i="1" s="1"/>
  <c r="V378" i="1"/>
  <c r="W378" i="1" s="1"/>
  <c r="V377" i="1"/>
  <c r="W377" i="1" s="1"/>
  <c r="V376" i="1"/>
  <c r="W376" i="1" s="1"/>
  <c r="V375" i="1"/>
  <c r="W375" i="1" s="1"/>
  <c r="V374" i="1"/>
  <c r="W374" i="1" s="1"/>
  <c r="V373" i="1"/>
  <c r="W373" i="1" s="1"/>
  <c r="V372" i="1"/>
  <c r="W372" i="1" s="1"/>
  <c r="V371" i="1"/>
  <c r="W371" i="1" s="1"/>
  <c r="V370" i="1"/>
  <c r="W370" i="1" s="1"/>
  <c r="V369" i="1"/>
  <c r="W369" i="1" s="1"/>
  <c r="V368" i="1"/>
  <c r="W368" i="1" s="1"/>
  <c r="V367" i="1"/>
  <c r="W367" i="1" s="1"/>
  <c r="V366" i="1"/>
  <c r="W366" i="1" s="1"/>
  <c r="V365" i="1"/>
  <c r="W365" i="1" s="1"/>
  <c r="V364" i="1"/>
  <c r="W364" i="1" s="1"/>
  <c r="V363" i="1"/>
  <c r="W363" i="1" s="1"/>
  <c r="V362" i="1"/>
  <c r="W362" i="1" s="1"/>
  <c r="V361" i="1"/>
  <c r="W361" i="1" s="1"/>
  <c r="V360" i="1"/>
  <c r="W360" i="1" s="1"/>
  <c r="V359" i="1"/>
  <c r="W359" i="1" s="1"/>
  <c r="V358" i="1"/>
  <c r="W358" i="1" s="1"/>
  <c r="V357" i="1"/>
  <c r="W357" i="1" s="1"/>
  <c r="V356" i="1"/>
  <c r="W356" i="1" s="1"/>
  <c r="V355" i="1"/>
  <c r="W355" i="1" s="1"/>
  <c r="V354" i="1"/>
  <c r="W354" i="1" s="1"/>
  <c r="V353" i="1"/>
  <c r="W353" i="1" s="1"/>
  <c r="V352" i="1"/>
  <c r="W352" i="1" s="1"/>
  <c r="V351" i="1"/>
  <c r="W351" i="1" s="1"/>
  <c r="V350" i="1"/>
  <c r="W350" i="1" s="1"/>
  <c r="V349" i="1"/>
  <c r="W349" i="1" s="1"/>
  <c r="V348" i="1"/>
  <c r="W348" i="1" s="1"/>
  <c r="V347" i="1"/>
  <c r="W347" i="1" s="1"/>
  <c r="V346" i="1"/>
  <c r="W346" i="1" s="1"/>
  <c r="V345" i="1"/>
  <c r="W345" i="1" s="1"/>
  <c r="V344" i="1"/>
  <c r="W344" i="1" s="1"/>
  <c r="V343" i="1"/>
  <c r="W343" i="1" s="1"/>
  <c r="V342" i="1"/>
  <c r="W342" i="1" s="1"/>
  <c r="V341" i="1"/>
  <c r="W341" i="1" s="1"/>
  <c r="V340" i="1"/>
  <c r="W340" i="1" s="1"/>
  <c r="V339" i="1"/>
  <c r="W339" i="1" s="1"/>
  <c r="V338" i="1"/>
  <c r="W338" i="1" s="1"/>
  <c r="V337" i="1"/>
  <c r="W337" i="1" s="1"/>
  <c r="V336" i="1"/>
  <c r="W336" i="1" s="1"/>
  <c r="V335" i="1"/>
  <c r="W335" i="1" s="1"/>
  <c r="V334" i="1"/>
  <c r="W334" i="1" s="1"/>
  <c r="V333" i="1"/>
  <c r="W333" i="1" s="1"/>
  <c r="V332" i="1"/>
  <c r="W332" i="1" s="1"/>
  <c r="V331" i="1"/>
  <c r="W331" i="1" s="1"/>
  <c r="V330" i="1"/>
  <c r="W330" i="1" s="1"/>
  <c r="V329" i="1"/>
  <c r="W329" i="1" s="1"/>
  <c r="V328" i="1"/>
  <c r="W328" i="1" s="1"/>
  <c r="V327" i="1"/>
  <c r="W327" i="1" s="1"/>
  <c r="V326" i="1"/>
  <c r="W326" i="1" s="1"/>
  <c r="V325" i="1"/>
  <c r="W325" i="1" s="1"/>
  <c r="V324" i="1"/>
  <c r="W324" i="1" s="1"/>
  <c r="V323" i="1"/>
  <c r="W323" i="1" s="1"/>
  <c r="V322" i="1"/>
  <c r="W322" i="1" s="1"/>
  <c r="V321" i="1"/>
  <c r="W321" i="1" s="1"/>
  <c r="V320" i="1"/>
  <c r="W320" i="1" s="1"/>
  <c r="V319" i="1"/>
  <c r="W319" i="1" s="1"/>
  <c r="V318" i="1"/>
  <c r="W318" i="1" s="1"/>
  <c r="V317" i="1"/>
  <c r="W317" i="1" s="1"/>
  <c r="V316" i="1"/>
  <c r="W316" i="1" s="1"/>
  <c r="V315" i="1"/>
  <c r="W315" i="1" s="1"/>
  <c r="V314" i="1"/>
  <c r="W314" i="1" s="1"/>
  <c r="V313" i="1"/>
  <c r="W313" i="1" s="1"/>
  <c r="V312" i="1"/>
  <c r="W312" i="1" s="1"/>
  <c r="V311" i="1"/>
  <c r="W311" i="1" s="1"/>
  <c r="V310" i="1"/>
  <c r="W310" i="1" s="1"/>
  <c r="V309" i="1"/>
  <c r="W309" i="1" s="1"/>
  <c r="V308" i="1"/>
  <c r="W308" i="1" s="1"/>
  <c r="V307" i="1"/>
  <c r="W307" i="1" s="1"/>
  <c r="V306" i="1"/>
  <c r="W306" i="1" s="1"/>
  <c r="V305" i="1"/>
  <c r="W305" i="1" s="1"/>
  <c r="V304" i="1"/>
  <c r="W304" i="1" s="1"/>
  <c r="V303" i="1"/>
  <c r="W303" i="1" s="1"/>
  <c r="V302" i="1"/>
  <c r="W302" i="1" s="1"/>
  <c r="V301" i="1"/>
  <c r="W301" i="1" s="1"/>
  <c r="V300" i="1"/>
  <c r="W300" i="1" s="1"/>
  <c r="V299" i="1"/>
  <c r="W299" i="1" s="1"/>
  <c r="V298" i="1"/>
  <c r="W298" i="1" s="1"/>
  <c r="V297" i="1"/>
  <c r="W297" i="1" s="1"/>
  <c r="V296" i="1"/>
  <c r="W296" i="1" s="1"/>
  <c r="V295" i="1"/>
  <c r="W295" i="1" s="1"/>
  <c r="V294" i="1"/>
  <c r="W294" i="1" s="1"/>
  <c r="V293" i="1"/>
  <c r="W293" i="1" s="1"/>
  <c r="V292" i="1"/>
  <c r="W292" i="1" s="1"/>
  <c r="V291" i="1"/>
  <c r="W291" i="1" s="1"/>
  <c r="V290" i="1"/>
  <c r="W290" i="1" s="1"/>
  <c r="V289" i="1"/>
  <c r="W289" i="1" s="1"/>
  <c r="V288" i="1"/>
  <c r="W288" i="1" s="1"/>
  <c r="V287" i="1"/>
  <c r="W287" i="1" s="1"/>
  <c r="V286" i="1"/>
  <c r="W286" i="1" s="1"/>
  <c r="V285" i="1"/>
  <c r="W285" i="1" s="1"/>
  <c r="V284" i="1"/>
  <c r="W284" i="1" s="1"/>
  <c r="V283" i="1"/>
  <c r="W283" i="1" s="1"/>
  <c r="V282" i="1"/>
  <c r="W282" i="1" s="1"/>
  <c r="V281" i="1"/>
  <c r="W281" i="1" s="1"/>
  <c r="V280" i="1"/>
  <c r="W280" i="1" s="1"/>
  <c r="V279" i="1"/>
  <c r="W279" i="1" s="1"/>
  <c r="V278" i="1"/>
  <c r="W278" i="1" s="1"/>
  <c r="V277" i="1"/>
  <c r="W277" i="1" s="1"/>
  <c r="V276" i="1"/>
  <c r="W276" i="1" s="1"/>
  <c r="V275" i="1"/>
  <c r="W275" i="1" s="1"/>
  <c r="V274" i="1"/>
  <c r="W274" i="1" s="1"/>
  <c r="V273" i="1"/>
  <c r="W273" i="1" s="1"/>
  <c r="V272" i="1"/>
  <c r="W272" i="1" s="1"/>
  <c r="V271" i="1"/>
  <c r="W271" i="1" s="1"/>
  <c r="V270" i="1"/>
  <c r="W270" i="1" s="1"/>
  <c r="V269" i="1"/>
  <c r="W269" i="1" s="1"/>
  <c r="V268" i="1"/>
  <c r="W268" i="1" s="1"/>
  <c r="V267" i="1"/>
  <c r="W267" i="1" s="1"/>
  <c r="V266" i="1"/>
  <c r="W266" i="1" s="1"/>
  <c r="V265" i="1"/>
  <c r="W265" i="1" s="1"/>
  <c r="V264" i="1"/>
  <c r="W264" i="1" s="1"/>
  <c r="V263" i="1"/>
  <c r="W263" i="1" s="1"/>
  <c r="V262" i="1"/>
  <c r="W262" i="1" s="1"/>
  <c r="V261" i="1"/>
  <c r="W261" i="1" s="1"/>
  <c r="V260" i="1"/>
  <c r="W260" i="1" s="1"/>
  <c r="V259" i="1"/>
  <c r="W259" i="1" s="1"/>
  <c r="V258" i="1"/>
  <c r="W258" i="1" s="1"/>
  <c r="V257" i="1"/>
  <c r="W257" i="1" s="1"/>
  <c r="V256" i="1"/>
  <c r="W256" i="1" s="1"/>
  <c r="V255" i="1"/>
  <c r="W255" i="1" s="1"/>
  <c r="V254" i="1"/>
  <c r="W254" i="1" s="1"/>
  <c r="V253" i="1"/>
  <c r="W253" i="1" s="1"/>
  <c r="V252" i="1"/>
  <c r="W252" i="1" s="1"/>
  <c r="V251" i="1"/>
  <c r="W251" i="1" s="1"/>
  <c r="V250" i="1"/>
  <c r="W250" i="1" s="1"/>
  <c r="V249" i="1"/>
  <c r="W249" i="1" s="1"/>
  <c r="V248" i="1"/>
  <c r="W248" i="1" s="1"/>
  <c r="V247" i="1"/>
  <c r="W247" i="1" s="1"/>
  <c r="V246" i="1"/>
  <c r="W246" i="1" s="1"/>
  <c r="V245" i="1"/>
  <c r="W245" i="1" s="1"/>
  <c r="V244" i="1"/>
  <c r="W244" i="1" s="1"/>
  <c r="V243" i="1"/>
  <c r="W243" i="1" s="1"/>
  <c r="V242" i="1"/>
  <c r="W242" i="1" s="1"/>
  <c r="V241" i="1"/>
  <c r="W241" i="1" s="1"/>
  <c r="V240" i="1"/>
  <c r="W240" i="1" s="1"/>
  <c r="V239" i="1"/>
  <c r="W239" i="1" s="1"/>
  <c r="V238" i="1"/>
  <c r="W238" i="1" s="1"/>
  <c r="V237" i="1"/>
  <c r="W237" i="1" s="1"/>
  <c r="V236" i="1"/>
  <c r="W236" i="1" s="1"/>
  <c r="V235" i="1"/>
  <c r="W235" i="1" s="1"/>
  <c r="V234" i="1"/>
  <c r="W234" i="1" s="1"/>
  <c r="V233" i="1"/>
  <c r="W233" i="1" s="1"/>
  <c r="V232" i="1"/>
  <c r="W232" i="1" s="1"/>
  <c r="V231" i="1"/>
  <c r="W231" i="1" s="1"/>
  <c r="V230" i="1"/>
  <c r="W230" i="1" s="1"/>
  <c r="V229" i="1"/>
  <c r="W229" i="1" s="1"/>
  <c r="V228" i="1"/>
  <c r="W228" i="1" s="1"/>
  <c r="V227" i="1"/>
  <c r="W227" i="1" s="1"/>
  <c r="V226" i="1"/>
  <c r="W226" i="1" s="1"/>
  <c r="V225" i="1"/>
  <c r="W225" i="1" s="1"/>
  <c r="V224" i="1"/>
  <c r="W224" i="1" s="1"/>
  <c r="V223" i="1"/>
  <c r="W223" i="1" s="1"/>
  <c r="V222" i="1"/>
  <c r="W222" i="1" s="1"/>
  <c r="V221" i="1"/>
  <c r="W221" i="1" s="1"/>
  <c r="V220" i="1"/>
  <c r="W220" i="1" s="1"/>
  <c r="V219" i="1"/>
  <c r="W219" i="1" s="1"/>
  <c r="V218" i="1"/>
  <c r="W218" i="1" s="1"/>
  <c r="V217" i="1"/>
  <c r="W217" i="1" s="1"/>
  <c r="V216" i="1"/>
  <c r="W216" i="1" s="1"/>
  <c r="V215" i="1"/>
  <c r="W215" i="1" s="1"/>
  <c r="V214" i="1"/>
  <c r="W214" i="1" s="1"/>
  <c r="V213" i="1"/>
  <c r="W213" i="1" s="1"/>
  <c r="V212" i="1"/>
  <c r="W212" i="1" s="1"/>
  <c r="V211" i="1"/>
  <c r="W211" i="1" s="1"/>
  <c r="V210" i="1"/>
  <c r="W210" i="1" s="1"/>
  <c r="V209" i="1"/>
  <c r="W209" i="1" s="1"/>
  <c r="V208" i="1"/>
  <c r="W208" i="1" s="1"/>
  <c r="V207" i="1"/>
  <c r="W207" i="1" s="1"/>
  <c r="V206" i="1"/>
  <c r="W206" i="1" s="1"/>
  <c r="V205" i="1"/>
  <c r="W205" i="1" s="1"/>
  <c r="V204" i="1"/>
  <c r="W204" i="1" s="1"/>
  <c r="V203" i="1"/>
  <c r="W203" i="1" s="1"/>
  <c r="V202" i="1"/>
  <c r="W202" i="1" s="1"/>
  <c r="V201" i="1"/>
  <c r="W201" i="1" s="1"/>
  <c r="V200" i="1"/>
  <c r="W200" i="1" s="1"/>
  <c r="V199" i="1"/>
  <c r="W199" i="1" s="1"/>
  <c r="V198" i="1"/>
  <c r="W198" i="1" s="1"/>
  <c r="V197" i="1"/>
  <c r="W197" i="1" s="1"/>
  <c r="V196" i="1"/>
  <c r="W196" i="1" s="1"/>
  <c r="V195" i="1"/>
  <c r="W195" i="1" s="1"/>
  <c r="V194" i="1"/>
  <c r="W194" i="1" s="1"/>
  <c r="V193" i="1"/>
  <c r="W193" i="1" s="1"/>
  <c r="V192" i="1"/>
  <c r="W192" i="1" s="1"/>
  <c r="V191" i="1"/>
  <c r="W191" i="1" s="1"/>
  <c r="V190" i="1"/>
  <c r="W190" i="1" s="1"/>
  <c r="V189" i="1"/>
  <c r="W189" i="1" s="1"/>
  <c r="V188" i="1"/>
  <c r="W188" i="1" s="1"/>
  <c r="V187" i="1"/>
  <c r="W187" i="1" s="1"/>
  <c r="V186" i="1"/>
  <c r="W186" i="1" s="1"/>
  <c r="V185" i="1"/>
  <c r="W185" i="1" s="1"/>
  <c r="V184" i="1"/>
  <c r="W184" i="1" s="1"/>
  <c r="V183" i="1"/>
  <c r="W183" i="1" s="1"/>
  <c r="V182" i="1"/>
  <c r="W182" i="1" s="1"/>
  <c r="V181" i="1"/>
  <c r="W181" i="1" s="1"/>
  <c r="V180" i="1"/>
  <c r="W180" i="1" s="1"/>
  <c r="V179" i="1"/>
  <c r="W179" i="1" s="1"/>
  <c r="V178" i="1"/>
  <c r="W178" i="1" s="1"/>
  <c r="V177" i="1"/>
  <c r="W177" i="1" s="1"/>
  <c r="V176" i="1"/>
  <c r="W176" i="1" s="1"/>
  <c r="V175" i="1"/>
  <c r="W175" i="1" s="1"/>
  <c r="V174" i="1"/>
  <c r="W174" i="1" s="1"/>
  <c r="V173" i="1"/>
  <c r="W173" i="1" s="1"/>
  <c r="V172" i="1"/>
  <c r="W172" i="1" s="1"/>
  <c r="V171" i="1"/>
  <c r="W171" i="1" s="1"/>
  <c r="V170" i="1"/>
  <c r="W170" i="1" s="1"/>
  <c r="V169" i="1"/>
  <c r="W169" i="1" s="1"/>
  <c r="V168" i="1"/>
  <c r="W168" i="1" s="1"/>
  <c r="V167" i="1"/>
  <c r="W167" i="1" s="1"/>
  <c r="V166" i="1"/>
  <c r="W166" i="1" s="1"/>
  <c r="V165" i="1"/>
  <c r="W165" i="1" s="1"/>
  <c r="V164" i="1"/>
  <c r="W164" i="1" s="1"/>
  <c r="V163" i="1"/>
  <c r="W163" i="1" s="1"/>
  <c r="V162" i="1"/>
  <c r="W162" i="1" s="1"/>
  <c r="V161" i="1"/>
  <c r="W161" i="1" s="1"/>
  <c r="V160" i="1"/>
  <c r="W160" i="1" s="1"/>
  <c r="V159" i="1"/>
  <c r="W159" i="1" s="1"/>
  <c r="V158" i="1"/>
  <c r="W158" i="1" s="1"/>
  <c r="V157" i="1"/>
  <c r="W157" i="1" s="1"/>
  <c r="V156" i="1"/>
  <c r="W156" i="1" s="1"/>
  <c r="V155" i="1"/>
  <c r="W155" i="1" s="1"/>
  <c r="V154" i="1"/>
  <c r="W154" i="1" s="1"/>
  <c r="V153" i="1"/>
  <c r="W153" i="1" s="1"/>
  <c r="V152" i="1"/>
  <c r="W152" i="1" s="1"/>
  <c r="V151" i="1"/>
  <c r="W151" i="1" s="1"/>
  <c r="V150" i="1"/>
  <c r="W150" i="1" s="1"/>
  <c r="V149" i="1"/>
  <c r="W149" i="1" s="1"/>
  <c r="V148" i="1"/>
  <c r="W148" i="1" s="1"/>
  <c r="V147" i="1"/>
  <c r="W147" i="1" s="1"/>
  <c r="V146" i="1"/>
  <c r="W146" i="1" s="1"/>
  <c r="V145" i="1"/>
  <c r="W145" i="1" s="1"/>
  <c r="V144" i="1"/>
  <c r="W144" i="1" s="1"/>
  <c r="V143" i="1"/>
  <c r="W143" i="1" s="1"/>
  <c r="V142" i="1"/>
  <c r="W142" i="1" s="1"/>
  <c r="V141" i="1"/>
  <c r="W141" i="1" s="1"/>
  <c r="V140" i="1"/>
  <c r="W140" i="1" s="1"/>
  <c r="V139" i="1"/>
  <c r="W139" i="1" s="1"/>
  <c r="V138" i="1"/>
  <c r="W138" i="1" s="1"/>
  <c r="V137" i="1"/>
  <c r="W137" i="1" s="1"/>
  <c r="V136" i="1"/>
  <c r="W136" i="1" s="1"/>
  <c r="V135" i="1"/>
  <c r="W135" i="1" s="1"/>
  <c r="V134" i="1"/>
  <c r="W134" i="1" s="1"/>
  <c r="V133" i="1"/>
  <c r="W133" i="1" s="1"/>
  <c r="V132" i="1"/>
  <c r="W132" i="1" s="1"/>
  <c r="V131" i="1"/>
  <c r="W131" i="1" s="1"/>
  <c r="V130" i="1"/>
  <c r="W130" i="1" s="1"/>
  <c r="V129" i="1"/>
  <c r="W129" i="1" s="1"/>
  <c r="V128" i="1"/>
  <c r="W128" i="1" s="1"/>
  <c r="V127" i="1"/>
  <c r="W127" i="1" s="1"/>
  <c r="V126" i="1"/>
  <c r="W126" i="1" s="1"/>
  <c r="V125" i="1"/>
  <c r="W125" i="1" s="1"/>
  <c r="V124" i="1"/>
  <c r="W124" i="1" s="1"/>
  <c r="V123" i="1"/>
  <c r="W123" i="1" s="1"/>
  <c r="V122" i="1"/>
  <c r="W122" i="1" s="1"/>
  <c r="V121" i="1"/>
  <c r="W121" i="1" s="1"/>
  <c r="V120" i="1"/>
  <c r="W120" i="1" s="1"/>
  <c r="V119" i="1"/>
  <c r="W119" i="1" s="1"/>
  <c r="V118" i="1"/>
  <c r="W118" i="1" s="1"/>
  <c r="V117" i="1"/>
  <c r="W117" i="1" s="1"/>
  <c r="V116" i="1"/>
  <c r="W116" i="1" s="1"/>
  <c r="V115" i="1"/>
  <c r="W115" i="1" s="1"/>
  <c r="V114" i="1"/>
  <c r="W114" i="1" s="1"/>
  <c r="V113" i="1"/>
  <c r="W113" i="1" s="1"/>
  <c r="V112" i="1"/>
  <c r="W112" i="1" s="1"/>
  <c r="V111" i="1"/>
  <c r="W111" i="1" s="1"/>
  <c r="V110" i="1"/>
  <c r="W110" i="1" s="1"/>
  <c r="V109" i="1"/>
  <c r="W109" i="1" s="1"/>
  <c r="V108" i="1"/>
  <c r="W108" i="1" s="1"/>
  <c r="V107" i="1"/>
  <c r="W107" i="1" s="1"/>
  <c r="V106" i="1"/>
  <c r="W106" i="1" s="1"/>
  <c r="V105" i="1"/>
  <c r="W105" i="1" s="1"/>
  <c r="V104" i="1"/>
  <c r="W104" i="1" s="1"/>
  <c r="V103" i="1"/>
  <c r="W103" i="1" s="1"/>
  <c r="V102" i="1"/>
  <c r="W102" i="1" s="1"/>
  <c r="V101" i="1"/>
  <c r="W101" i="1" s="1"/>
  <c r="V100" i="1"/>
  <c r="W100" i="1" s="1"/>
  <c r="V99" i="1"/>
  <c r="W99" i="1" s="1"/>
  <c r="V98" i="1"/>
  <c r="W98" i="1" s="1"/>
  <c r="V97" i="1"/>
  <c r="W97" i="1" s="1"/>
  <c r="V96" i="1"/>
  <c r="W96" i="1" s="1"/>
  <c r="V95" i="1"/>
  <c r="W95" i="1" s="1"/>
  <c r="V94" i="1"/>
  <c r="W94" i="1" s="1"/>
  <c r="V93" i="1"/>
  <c r="W93" i="1" s="1"/>
  <c r="V92" i="1"/>
  <c r="W92" i="1" s="1"/>
  <c r="V91" i="1"/>
  <c r="W91" i="1" s="1"/>
  <c r="V90" i="1"/>
  <c r="W90" i="1" s="1"/>
  <c r="V89" i="1"/>
  <c r="W89" i="1" s="1"/>
  <c r="V88" i="1"/>
  <c r="W88" i="1" s="1"/>
  <c r="V87" i="1"/>
  <c r="W87" i="1" s="1"/>
  <c r="V86" i="1"/>
  <c r="W86" i="1" s="1"/>
  <c r="V85" i="1"/>
  <c r="W85" i="1" s="1"/>
  <c r="V84" i="1"/>
  <c r="W84" i="1" s="1"/>
  <c r="V83" i="1"/>
  <c r="W83" i="1" s="1"/>
  <c r="V82" i="1"/>
  <c r="W82" i="1" s="1"/>
  <c r="V81" i="1"/>
  <c r="W81" i="1" s="1"/>
  <c r="V80" i="1"/>
  <c r="W80" i="1" s="1"/>
  <c r="V79" i="1"/>
  <c r="W79" i="1" s="1"/>
  <c r="V78" i="1"/>
  <c r="W78" i="1" s="1"/>
  <c r="V77" i="1"/>
  <c r="W77" i="1" s="1"/>
  <c r="V76" i="1"/>
  <c r="W76" i="1" s="1"/>
  <c r="V75" i="1"/>
  <c r="W75" i="1" s="1"/>
  <c r="V74" i="1"/>
  <c r="W74" i="1" s="1"/>
  <c r="V73" i="1"/>
  <c r="W73" i="1" s="1"/>
  <c r="V72" i="1"/>
  <c r="W72" i="1" s="1"/>
  <c r="V71" i="1"/>
  <c r="W71" i="1" s="1"/>
  <c r="V70" i="1"/>
  <c r="W70" i="1" s="1"/>
  <c r="V69" i="1"/>
  <c r="W69" i="1" s="1"/>
  <c r="V68" i="1"/>
  <c r="W68" i="1" s="1"/>
  <c r="V67" i="1"/>
  <c r="W67" i="1" s="1"/>
  <c r="V66" i="1"/>
  <c r="W66" i="1" s="1"/>
  <c r="V65" i="1"/>
  <c r="W65" i="1" s="1"/>
  <c r="V64" i="1"/>
  <c r="W64" i="1" s="1"/>
  <c r="V63" i="1"/>
  <c r="W63" i="1" s="1"/>
  <c r="V62" i="1"/>
  <c r="W62" i="1" s="1"/>
  <c r="V61" i="1"/>
  <c r="W61" i="1" s="1"/>
  <c r="V60" i="1"/>
  <c r="W60" i="1" s="1"/>
  <c r="V59" i="1"/>
  <c r="W59" i="1" s="1"/>
  <c r="V58" i="1"/>
  <c r="W58" i="1" s="1"/>
  <c r="V57" i="1"/>
  <c r="W57" i="1" s="1"/>
  <c r="V56" i="1"/>
  <c r="W56" i="1" s="1"/>
  <c r="V55" i="1"/>
  <c r="W55" i="1" s="1"/>
  <c r="V54" i="1"/>
  <c r="W54" i="1" s="1"/>
  <c r="V53" i="1"/>
  <c r="W53" i="1" s="1"/>
  <c r="V52" i="1"/>
  <c r="W52" i="1" s="1"/>
  <c r="V51" i="1"/>
  <c r="W51" i="1" s="1"/>
  <c r="V50" i="1"/>
  <c r="W50" i="1" s="1"/>
  <c r="V49" i="1"/>
  <c r="W49" i="1" s="1"/>
  <c r="V48" i="1"/>
  <c r="W48" i="1" s="1"/>
  <c r="V47" i="1"/>
  <c r="W47" i="1" s="1"/>
  <c r="V46" i="1"/>
  <c r="W46" i="1" s="1"/>
  <c r="V45" i="1"/>
  <c r="W45" i="1" s="1"/>
  <c r="V44" i="1"/>
  <c r="W44" i="1" s="1"/>
  <c r="V43" i="1"/>
  <c r="W43" i="1" s="1"/>
  <c r="V42" i="1"/>
  <c r="W42" i="1" s="1"/>
  <c r="V41" i="1"/>
  <c r="W41" i="1" s="1"/>
  <c r="V40" i="1"/>
  <c r="W40" i="1" s="1"/>
  <c r="V39" i="1"/>
  <c r="W39" i="1" s="1"/>
  <c r="V38" i="1"/>
  <c r="W38" i="1" s="1"/>
  <c r="V37" i="1"/>
  <c r="W37" i="1" s="1"/>
  <c r="V36" i="1"/>
  <c r="W36" i="1" s="1"/>
  <c r="V35" i="1"/>
  <c r="W35" i="1" s="1"/>
  <c r="V34" i="1"/>
  <c r="W34" i="1" s="1"/>
  <c r="V33" i="1"/>
  <c r="W33" i="1" s="1"/>
  <c r="V32" i="1"/>
  <c r="W32" i="1" s="1"/>
  <c r="V31" i="1"/>
  <c r="W31" i="1" s="1"/>
  <c r="V30" i="1"/>
  <c r="W30" i="1" s="1"/>
  <c r="V29" i="1"/>
  <c r="W29" i="1" s="1"/>
  <c r="V28" i="1"/>
  <c r="W28" i="1" s="1"/>
  <c r="V27" i="1"/>
  <c r="W27" i="1" s="1"/>
  <c r="V26" i="1"/>
  <c r="W26" i="1" s="1"/>
  <c r="V25" i="1"/>
  <c r="W25" i="1" s="1"/>
  <c r="V24" i="1"/>
  <c r="W24" i="1" s="1"/>
  <c r="V23" i="1"/>
  <c r="W23" i="1" s="1"/>
  <c r="V22" i="1"/>
  <c r="W22" i="1" s="1"/>
  <c r="V21" i="1"/>
  <c r="W21" i="1" s="1"/>
  <c r="V20" i="1"/>
  <c r="W20" i="1" s="1"/>
  <c r="V19" i="1"/>
  <c r="W19" i="1" s="1"/>
  <c r="V18" i="1"/>
  <c r="W18" i="1" s="1"/>
  <c r="V17" i="1"/>
  <c r="W17" i="1" s="1"/>
  <c r="V16" i="1"/>
  <c r="W16" i="1" s="1"/>
  <c r="V15" i="1"/>
  <c r="W15" i="1" s="1"/>
  <c r="V14" i="1"/>
  <c r="W14" i="1" s="1"/>
  <c r="V13" i="1"/>
  <c r="W13" i="1" s="1"/>
  <c r="V12" i="1"/>
  <c r="W12" i="1" s="1"/>
  <c r="V11" i="1"/>
  <c r="W11" i="1" s="1"/>
  <c r="V10" i="1"/>
  <c r="W10" i="1" s="1"/>
  <c r="V9" i="1"/>
  <c r="W9" i="1" s="1"/>
  <c r="V8" i="1"/>
  <c r="W8" i="1" s="1"/>
  <c r="V7" i="1"/>
  <c r="W7" i="1" s="1"/>
  <c r="V6" i="1"/>
  <c r="W6" i="1" s="1"/>
  <c r="V5" i="1"/>
  <c r="W5" i="1" s="1"/>
  <c r="V4" i="1"/>
  <c r="W4" i="1" s="1"/>
  <c r="V3" i="1"/>
  <c r="V2" i="1"/>
  <c r="C20" i="13" l="1"/>
  <c r="R15" i="3"/>
  <c r="R22" i="3" s="1"/>
  <c r="P1" i="17"/>
  <c r="Q20" i="3"/>
  <c r="Q19" i="3"/>
  <c r="W653" i="1"/>
  <c r="C6" i="13"/>
  <c r="W2" i="1"/>
  <c r="C4" i="13"/>
  <c r="W3" i="1"/>
  <c r="C5" i="13"/>
  <c r="B22" i="2"/>
  <c r="O5" i="3"/>
  <c r="P19" i="3" s="1"/>
  <c r="AD5" i="3"/>
  <c r="O6" i="3"/>
  <c r="O20" i="3" s="1"/>
  <c r="K20" i="3"/>
  <c r="O8" i="3"/>
  <c r="L8" i="3"/>
  <c r="L9" i="3"/>
  <c r="AU10" i="3"/>
  <c r="Q24" i="3"/>
  <c r="K21" i="3"/>
  <c r="L7" i="3"/>
  <c r="O9" i="3"/>
  <c r="M23" i="3"/>
  <c r="K19" i="3"/>
  <c r="L5" i="3"/>
  <c r="P21" i="3"/>
  <c r="O21" i="3"/>
  <c r="AU8" i="3"/>
  <c r="Q22" i="3"/>
  <c r="AU7" i="3"/>
  <c r="Q21" i="3"/>
  <c r="K24" i="3"/>
  <c r="L10" i="3"/>
  <c r="AC5" i="3"/>
  <c r="AU9" i="3"/>
  <c r="AE5" i="3"/>
  <c r="O10" i="3"/>
  <c r="M20" i="3"/>
  <c r="M21" i="3"/>
  <c r="K23" i="3"/>
  <c r="B25" i="2"/>
  <c r="N9" i="17" l="1"/>
  <c r="N10" i="17"/>
  <c r="O22" i="3"/>
  <c r="P8" i="3"/>
  <c r="P22" i="3" s="1"/>
  <c r="I17" i="17"/>
  <c r="D20" i="13"/>
  <c r="D22" i="13" s="1"/>
  <c r="J19" i="14"/>
  <c r="E20" i="13"/>
  <c r="C22" i="13"/>
  <c r="E22" i="13" s="1"/>
  <c r="I6" i="17"/>
  <c r="J6" i="14"/>
  <c r="J5" i="14"/>
  <c r="I5" i="17"/>
  <c r="I4" i="17"/>
  <c r="J4" i="14"/>
  <c r="C8" i="13"/>
  <c r="E8" i="13" s="1"/>
  <c r="P20" i="3"/>
  <c r="R19" i="3"/>
  <c r="S15" i="3"/>
  <c r="S23" i="3" s="1"/>
  <c r="R24" i="3"/>
  <c r="R23" i="3"/>
  <c r="S19" i="3"/>
  <c r="N16" i="17"/>
  <c r="N5" i="17"/>
  <c r="N7" i="17"/>
  <c r="N4" i="17"/>
  <c r="N17" i="17"/>
  <c r="N6" i="17"/>
  <c r="S20" i="3"/>
  <c r="R20" i="3"/>
  <c r="Q1" i="17"/>
  <c r="R21" i="3"/>
  <c r="S24" i="3"/>
  <c r="S21" i="3"/>
  <c r="S22" i="3"/>
  <c r="T15" i="3"/>
  <c r="S1" i="17" s="1"/>
  <c r="O19" i="3"/>
  <c r="E5" i="13"/>
  <c r="D5" i="13"/>
  <c r="E6" i="13"/>
  <c r="D6" i="13"/>
  <c r="C7" i="13"/>
  <c r="D4" i="13"/>
  <c r="E4" i="13"/>
  <c r="AU6" i="3"/>
  <c r="P24" i="3"/>
  <c r="O24" i="3"/>
  <c r="AU5" i="3"/>
  <c r="O23" i="3"/>
  <c r="P23" i="3"/>
  <c r="O10" i="17" l="1"/>
  <c r="O9" i="17"/>
  <c r="Q10" i="17"/>
  <c r="Q9" i="17"/>
  <c r="D8" i="13"/>
  <c r="B14" i="13"/>
  <c r="C14" i="13" s="1"/>
  <c r="B21" i="13"/>
  <c r="C21" i="13" s="1"/>
  <c r="I19" i="14"/>
  <c r="M19" i="14" s="1"/>
  <c r="N19" i="14" s="1"/>
  <c r="H17" i="17"/>
  <c r="L17" i="17" s="1"/>
  <c r="I7" i="17"/>
  <c r="E7" i="13"/>
  <c r="H5" i="17"/>
  <c r="L5" i="17" s="1"/>
  <c r="M5" i="17" s="1"/>
  <c r="I5" i="14"/>
  <c r="H4" i="17"/>
  <c r="I4" i="14"/>
  <c r="H6" i="17"/>
  <c r="L6" i="17" s="1"/>
  <c r="I6" i="14"/>
  <c r="J7" i="14"/>
  <c r="H24" i="14" s="1"/>
  <c r="N18" i="17"/>
  <c r="T22" i="3"/>
  <c r="Q7" i="17"/>
  <c r="Q17" i="17"/>
  <c r="Q6" i="17"/>
  <c r="Q5" i="17"/>
  <c r="Q16" i="17"/>
  <c r="Q4" i="17"/>
  <c r="N12" i="17"/>
  <c r="N19" i="17"/>
  <c r="P17" i="17"/>
  <c r="P5" i="17"/>
  <c r="P7" i="17"/>
  <c r="P6" i="17"/>
  <c r="P4" i="17"/>
  <c r="P16" i="17"/>
  <c r="T24" i="3"/>
  <c r="O17" i="17"/>
  <c r="O5" i="17"/>
  <c r="O7" i="17"/>
  <c r="O4" i="17"/>
  <c r="O16" i="17"/>
  <c r="O6" i="17"/>
  <c r="T21" i="3"/>
  <c r="T20" i="3"/>
  <c r="T23" i="3"/>
  <c r="U15" i="3"/>
  <c r="U22" i="3" s="1"/>
  <c r="T19" i="3"/>
  <c r="D7" i="13"/>
  <c r="G18" i="17" l="1"/>
  <c r="H20" i="14" s="1"/>
  <c r="AC20" i="14" s="1"/>
  <c r="M17" i="17"/>
  <c r="AN24" i="14"/>
  <c r="J24" i="14"/>
  <c r="AO24" i="14"/>
  <c r="AP24" i="14"/>
  <c r="AK24" i="14"/>
  <c r="AL24" i="14"/>
  <c r="AA24" i="14"/>
  <c r="AG24" i="14"/>
  <c r="U24" i="14"/>
  <c r="R24" i="14"/>
  <c r="Q21" i="17" s="1"/>
  <c r="Z24" i="14"/>
  <c r="AD24" i="14"/>
  <c r="AI24" i="14"/>
  <c r="AQ24" i="14"/>
  <c r="AE24" i="14"/>
  <c r="T24" i="14"/>
  <c r="AM24" i="14"/>
  <c r="AB24" i="14"/>
  <c r="Q24" i="14"/>
  <c r="Y24" i="14"/>
  <c r="AR24" i="14"/>
  <c r="AC24" i="14"/>
  <c r="AF24" i="14"/>
  <c r="W24" i="14"/>
  <c r="AJ24" i="14"/>
  <c r="V24" i="14"/>
  <c r="X24" i="14"/>
  <c r="AH24" i="14"/>
  <c r="S24" i="14"/>
  <c r="G11" i="17"/>
  <c r="H13" i="14" s="1"/>
  <c r="AE13" i="14" s="1"/>
  <c r="L18" i="17"/>
  <c r="M18" i="17" s="1"/>
  <c r="M6" i="17"/>
  <c r="L4" i="17"/>
  <c r="H7" i="17"/>
  <c r="O18" i="17"/>
  <c r="P19" i="17"/>
  <c r="O19" i="17"/>
  <c r="U20" i="3"/>
  <c r="U19" i="3"/>
  <c r="Q12" i="17"/>
  <c r="O12" i="17"/>
  <c r="P12" i="17"/>
  <c r="Q19" i="17"/>
  <c r="V15" i="3"/>
  <c r="U1" i="17" s="1"/>
  <c r="T1" i="17"/>
  <c r="U23" i="3"/>
  <c r="U24" i="3"/>
  <c r="U21" i="3"/>
  <c r="R9" i="17" l="1"/>
  <c r="R10" i="17"/>
  <c r="S9" i="17"/>
  <c r="S10" i="17"/>
  <c r="I18" i="17"/>
  <c r="I19" i="17" s="1"/>
  <c r="G19" i="17"/>
  <c r="M19" i="17" s="1"/>
  <c r="AD20" i="14"/>
  <c r="AJ20" i="14"/>
  <c r="AR20" i="14"/>
  <c r="AP20" i="14"/>
  <c r="T20" i="14"/>
  <c r="S18" i="17" s="1"/>
  <c r="R20" i="14"/>
  <c r="Q18" i="17" s="1"/>
  <c r="AH20" i="14"/>
  <c r="AQ20" i="14"/>
  <c r="AL20" i="14"/>
  <c r="Y13" i="14"/>
  <c r="Q13" i="14"/>
  <c r="P11" i="17" s="1"/>
  <c r="AP13" i="14"/>
  <c r="AM13" i="14"/>
  <c r="AB20" i="14"/>
  <c r="AC13" i="14"/>
  <c r="W13" i="14"/>
  <c r="AA20" i="14"/>
  <c r="AM20" i="14"/>
  <c r="AR13" i="14"/>
  <c r="I11" i="17"/>
  <c r="I12" i="17" s="1"/>
  <c r="AL13" i="14"/>
  <c r="Y20" i="14"/>
  <c r="AN13" i="14"/>
  <c r="AE20" i="14"/>
  <c r="G12" i="17"/>
  <c r="L12" i="17" s="1"/>
  <c r="AF20" i="14"/>
  <c r="S13" i="14"/>
  <c r="R11" i="17" s="1"/>
  <c r="AF13" i="14"/>
  <c r="AD13" i="14"/>
  <c r="V13" i="14"/>
  <c r="AB13" i="14"/>
  <c r="Q20" i="14"/>
  <c r="P18" i="17" s="1"/>
  <c r="V20" i="14"/>
  <c r="AO20" i="14"/>
  <c r="AN20" i="14"/>
  <c r="S21" i="17"/>
  <c r="AK20" i="14"/>
  <c r="Z20" i="14"/>
  <c r="X20" i="14"/>
  <c r="AI20" i="14"/>
  <c r="W20" i="14"/>
  <c r="U20" i="14"/>
  <c r="AG20" i="14"/>
  <c r="AO13" i="14"/>
  <c r="S20" i="14"/>
  <c r="R18" i="17" s="1"/>
  <c r="R21" i="17"/>
  <c r="AQ13" i="14"/>
  <c r="AI13" i="14"/>
  <c r="AJ13" i="14"/>
  <c r="T13" i="14"/>
  <c r="S11" i="17" s="1"/>
  <c r="R13" i="14"/>
  <c r="Q11" i="17" s="1"/>
  <c r="AG13" i="14"/>
  <c r="AK13" i="14"/>
  <c r="Z13" i="14"/>
  <c r="AH13" i="14"/>
  <c r="AA13" i="14"/>
  <c r="X13" i="14"/>
  <c r="P21" i="17"/>
  <c r="AS24" i="14"/>
  <c r="U13" i="14"/>
  <c r="T11" i="17" s="1"/>
  <c r="M4" i="17"/>
  <c r="L7" i="17"/>
  <c r="V19" i="3"/>
  <c r="V24" i="3"/>
  <c r="V23" i="3"/>
  <c r="V20" i="3"/>
  <c r="R17" i="17"/>
  <c r="R6" i="17"/>
  <c r="R16" i="17"/>
  <c r="R5" i="17"/>
  <c r="R7" i="17"/>
  <c r="R4" i="17"/>
  <c r="S4" i="17"/>
  <c r="S16" i="17"/>
  <c r="S17" i="17"/>
  <c r="S6" i="17"/>
  <c r="S5" i="17"/>
  <c r="S7" i="17"/>
  <c r="W15" i="3"/>
  <c r="V1" i="17" s="1"/>
  <c r="V21" i="3"/>
  <c r="V22" i="3"/>
  <c r="X15" i="3"/>
  <c r="W1" i="17" s="1"/>
  <c r="U11" i="17" l="1"/>
  <c r="T9" i="17"/>
  <c r="T10" i="17"/>
  <c r="U9" i="17"/>
  <c r="U10" i="17"/>
  <c r="H19" i="17"/>
  <c r="G21" i="17" s="1"/>
  <c r="I21" i="17" s="1"/>
  <c r="L19" i="17"/>
  <c r="U21" i="17"/>
  <c r="H12" i="17"/>
  <c r="T18" i="17"/>
  <c r="AS20" i="14"/>
  <c r="U18" i="17"/>
  <c r="AS13" i="14"/>
  <c r="T21" i="17"/>
  <c r="M11" i="17"/>
  <c r="M12" i="17" s="1"/>
  <c r="M7" i="17"/>
  <c r="W24" i="3"/>
  <c r="W20" i="3"/>
  <c r="W21" i="3"/>
  <c r="W19" i="3"/>
  <c r="W23" i="3"/>
  <c r="W22" i="3"/>
  <c r="S19" i="17"/>
  <c r="R12" i="17"/>
  <c r="R19" i="17"/>
  <c r="U6" i="17"/>
  <c r="U7" i="17"/>
  <c r="U16" i="17"/>
  <c r="U4" i="17"/>
  <c r="U5" i="17"/>
  <c r="U17" i="17"/>
  <c r="S12" i="17"/>
  <c r="T4" i="17"/>
  <c r="T16" i="17"/>
  <c r="T6" i="17"/>
  <c r="T7" i="17"/>
  <c r="T17" i="17"/>
  <c r="T5" i="17"/>
  <c r="Y15" i="3"/>
  <c r="X1" i="17" s="1"/>
  <c r="V11" i="17" s="1"/>
  <c r="X22" i="3"/>
  <c r="X19" i="3"/>
  <c r="X23" i="3"/>
  <c r="X21" i="3"/>
  <c r="X24" i="3"/>
  <c r="X20" i="3"/>
  <c r="V9" i="17" l="1"/>
  <c r="V10" i="17"/>
  <c r="V18" i="17"/>
  <c r="V21" i="17"/>
  <c r="T19" i="17"/>
  <c r="U12" i="17"/>
  <c r="U19" i="17"/>
  <c r="V16" i="17"/>
  <c r="V5" i="17"/>
  <c r="V7" i="17"/>
  <c r="V4" i="17"/>
  <c r="V17" i="17"/>
  <c r="V6" i="17"/>
  <c r="T12" i="17"/>
  <c r="Z15" i="3"/>
  <c r="Y1" i="17" s="1"/>
  <c r="Y24" i="3"/>
  <c r="Y19" i="3"/>
  <c r="Y23" i="3"/>
  <c r="Y22" i="3"/>
  <c r="Y21" i="3"/>
  <c r="Y20" i="3"/>
  <c r="W10" i="17" l="1"/>
  <c r="W9" i="17"/>
  <c r="W11" i="17"/>
  <c r="W21" i="17"/>
  <c r="W18" i="17"/>
  <c r="V19" i="17"/>
  <c r="W17" i="17"/>
  <c r="W5" i="17"/>
  <c r="W7" i="17"/>
  <c r="W4" i="17"/>
  <c r="W6" i="17"/>
  <c r="W16" i="17"/>
  <c r="V12" i="17"/>
  <c r="AA15" i="3"/>
  <c r="Z1" i="17" s="1"/>
  <c r="Z22" i="3"/>
  <c r="Z21" i="3"/>
  <c r="Z19" i="3"/>
  <c r="Z23" i="3"/>
  <c r="Z20" i="3"/>
  <c r="Z24" i="3"/>
  <c r="W19" i="17" l="1"/>
  <c r="X11" i="17"/>
  <c r="X21" i="17"/>
  <c r="X18" i="17"/>
  <c r="W12" i="17"/>
  <c r="X17" i="17"/>
  <c r="X10" i="17"/>
  <c r="X5" i="17"/>
  <c r="X7" i="17"/>
  <c r="X16" i="17"/>
  <c r="X4" i="17"/>
  <c r="X9" i="17"/>
  <c r="X6" i="17"/>
  <c r="AA20" i="3"/>
  <c r="AB15" i="3"/>
  <c r="AA1" i="17" s="1"/>
  <c r="AA22" i="3"/>
  <c r="AA23" i="3"/>
  <c r="AA21" i="3"/>
  <c r="AA19" i="3"/>
  <c r="AA24" i="3"/>
  <c r="Y18" i="17" l="1"/>
  <c r="Y21" i="17"/>
  <c r="Y11" i="17"/>
  <c r="X19" i="17"/>
  <c r="X12" i="17"/>
  <c r="Y5" i="17"/>
  <c r="Y17" i="17"/>
  <c r="Y10" i="17"/>
  <c r="Y7" i="17"/>
  <c r="Y4" i="17"/>
  <c r="Y16" i="17"/>
  <c r="Y9" i="17"/>
  <c r="Y6" i="17"/>
  <c r="AC15" i="3"/>
  <c r="AB1" i="17" s="1"/>
  <c r="AB21" i="3"/>
  <c r="AB19" i="3"/>
  <c r="AB24" i="3"/>
  <c r="AB20" i="3"/>
  <c r="AB23" i="3"/>
  <c r="AB22" i="3"/>
  <c r="Z18" i="17" l="1"/>
  <c r="Z21" i="17"/>
  <c r="Z11" i="17"/>
  <c r="Z17" i="17"/>
  <c r="Z10" i="17"/>
  <c r="Z6" i="17"/>
  <c r="Z4" i="17"/>
  <c r="Z16" i="17"/>
  <c r="Z9" i="17"/>
  <c r="Z5" i="17"/>
  <c r="Z7" i="17"/>
  <c r="Y12" i="17"/>
  <c r="Y19" i="17"/>
  <c r="AC22" i="3"/>
  <c r="AD15" i="3"/>
  <c r="AC1" i="17" s="1"/>
  <c r="AC20" i="3"/>
  <c r="AC21" i="3"/>
  <c r="AC24" i="3"/>
  <c r="AC23" i="3"/>
  <c r="AC19" i="3"/>
  <c r="Z19" i="17" l="1"/>
  <c r="AA18" i="17"/>
  <c r="AA21" i="17"/>
  <c r="AA11" i="17"/>
  <c r="Z12" i="17"/>
  <c r="AA4" i="17"/>
  <c r="AA16" i="17"/>
  <c r="AA9" i="17"/>
  <c r="AA6" i="17"/>
  <c r="AA10" i="17"/>
  <c r="AA5" i="17"/>
  <c r="AA7" i="17"/>
  <c r="AA17" i="17"/>
  <c r="AE15" i="3"/>
  <c r="AD1" i="17" s="1"/>
  <c r="AD19" i="3"/>
  <c r="AD21" i="3"/>
  <c r="AD20" i="3"/>
  <c r="AD24" i="3"/>
  <c r="AD23" i="3"/>
  <c r="AD22" i="3"/>
  <c r="AB18" i="17" l="1"/>
  <c r="AB21" i="17"/>
  <c r="AB11" i="17"/>
  <c r="AA12" i="17"/>
  <c r="AB4" i="17"/>
  <c r="AB16" i="17"/>
  <c r="AB9" i="17"/>
  <c r="AB6" i="17"/>
  <c r="AB17" i="17"/>
  <c r="AB5" i="17"/>
  <c r="AB10" i="17"/>
  <c r="AB7" i="17"/>
  <c r="AA19" i="17"/>
  <c r="AF15" i="3"/>
  <c r="AE1" i="17" s="1"/>
  <c r="AE24" i="3"/>
  <c r="AE23" i="3"/>
  <c r="AE20" i="3"/>
  <c r="AE21" i="3"/>
  <c r="AE22" i="3"/>
  <c r="AE19" i="3"/>
  <c r="AC11" i="17" l="1"/>
  <c r="AC18" i="17"/>
  <c r="AC21" i="17"/>
  <c r="AB12" i="17"/>
  <c r="AB19" i="17"/>
  <c r="AC16" i="17"/>
  <c r="AC9" i="17"/>
  <c r="AC4" i="17"/>
  <c r="AC6" i="17"/>
  <c r="AC7" i="17"/>
  <c r="AC17" i="17"/>
  <c r="AC10" i="17"/>
  <c r="AC5" i="17"/>
  <c r="AG15" i="3"/>
  <c r="AF1" i="17" s="1"/>
  <c r="AF19" i="3"/>
  <c r="AF21" i="3"/>
  <c r="AF24" i="3"/>
  <c r="AF22" i="3"/>
  <c r="AF23" i="3"/>
  <c r="AF20" i="3"/>
  <c r="AD21" i="17" l="1"/>
  <c r="AD11" i="17"/>
  <c r="AD18" i="17"/>
  <c r="AC12" i="17"/>
  <c r="AD16" i="17"/>
  <c r="AD9" i="17"/>
  <c r="AD5" i="17"/>
  <c r="AD7" i="17"/>
  <c r="AD4" i="17"/>
  <c r="AD17" i="17"/>
  <c r="AD10" i="17"/>
  <c r="AD6" i="17"/>
  <c r="AC19" i="17"/>
  <c r="AH15" i="3"/>
  <c r="AG1" i="17" s="1"/>
  <c r="AG24" i="3"/>
  <c r="AG19" i="3"/>
  <c r="AG20" i="3"/>
  <c r="AG23" i="3"/>
  <c r="AG21" i="3"/>
  <c r="AG22" i="3"/>
  <c r="AE21" i="17" l="1"/>
  <c r="AE18" i="17"/>
  <c r="AE11" i="17"/>
  <c r="AD12" i="17"/>
  <c r="AE5" i="17"/>
  <c r="AE7" i="17"/>
  <c r="AE10" i="17"/>
  <c r="AE16" i="17"/>
  <c r="AE17" i="17"/>
  <c r="AE4" i="17"/>
  <c r="AE9" i="17"/>
  <c r="AE6" i="17"/>
  <c r="AD19" i="17"/>
  <c r="AI15" i="3"/>
  <c r="AH1" i="17" s="1"/>
  <c r="AH19" i="3"/>
  <c r="AH22" i="3"/>
  <c r="AH21" i="3"/>
  <c r="AH23" i="3"/>
  <c r="AH20" i="3"/>
  <c r="AH24" i="3"/>
  <c r="AF18" i="17" l="1"/>
  <c r="AF21" i="17"/>
  <c r="AF11" i="17"/>
  <c r="AE19" i="17"/>
  <c r="AE12" i="17"/>
  <c r="AF17" i="17"/>
  <c r="AF10" i="17"/>
  <c r="AF5" i="17"/>
  <c r="AF7" i="17"/>
  <c r="AF9" i="17"/>
  <c r="AF6" i="17"/>
  <c r="AF4" i="17"/>
  <c r="AF16" i="17"/>
  <c r="AI20" i="3"/>
  <c r="AJ15" i="3"/>
  <c r="AI1" i="17" s="1"/>
  <c r="AI22" i="3"/>
  <c r="AI19" i="3"/>
  <c r="AI23" i="3"/>
  <c r="AI21" i="3"/>
  <c r="AI24" i="3"/>
  <c r="AG18" i="17" l="1"/>
  <c r="AG21" i="17"/>
  <c r="AG11" i="17"/>
  <c r="AF19" i="17"/>
  <c r="AF12" i="17"/>
  <c r="AG17" i="17"/>
  <c r="AG10" i="17"/>
  <c r="AG5" i="17"/>
  <c r="AG7" i="17"/>
  <c r="AG6" i="17"/>
  <c r="AG16" i="17"/>
  <c r="AG9" i="17"/>
  <c r="AG4" i="17"/>
  <c r="AK15" i="3"/>
  <c r="AJ1" i="17" s="1"/>
  <c r="AJ22" i="3"/>
  <c r="AJ24" i="3"/>
  <c r="AJ21" i="3"/>
  <c r="AJ20" i="3"/>
  <c r="AJ19" i="3"/>
  <c r="AJ23" i="3"/>
  <c r="AH21" i="17" l="1"/>
  <c r="AH18" i="17"/>
  <c r="AH11" i="17"/>
  <c r="AG19" i="17"/>
  <c r="AH17" i="17"/>
  <c r="AH10" i="17"/>
  <c r="AH6" i="17"/>
  <c r="AH4" i="17"/>
  <c r="AH16" i="17"/>
  <c r="AH9" i="17"/>
  <c r="AH5" i="17"/>
  <c r="AH7" i="17"/>
  <c r="AG12" i="17"/>
  <c r="AL15" i="3"/>
  <c r="AK1" i="17" s="1"/>
  <c r="AK22" i="3"/>
  <c r="AK20" i="3"/>
  <c r="AK19" i="3"/>
  <c r="AK23" i="3"/>
  <c r="AK21" i="3"/>
  <c r="AK24" i="3"/>
  <c r="AI18" i="17" l="1"/>
  <c r="AI21" i="17"/>
  <c r="AI11" i="17"/>
  <c r="AH19" i="17"/>
  <c r="AH12" i="17"/>
  <c r="AI4" i="17"/>
  <c r="AI6" i="17"/>
  <c r="AI16" i="17"/>
  <c r="AI9" i="17"/>
  <c r="AI17" i="17"/>
  <c r="AI5" i="17"/>
  <c r="AI7" i="17"/>
  <c r="AI10" i="17"/>
  <c r="AM15" i="3"/>
  <c r="AL1" i="17" s="1"/>
  <c r="AL22" i="3"/>
  <c r="AL19" i="3"/>
  <c r="AL21" i="3"/>
  <c r="AL20" i="3"/>
  <c r="AL24" i="3"/>
  <c r="AL23" i="3"/>
  <c r="AJ21" i="17" l="1"/>
  <c r="AJ18" i="17"/>
  <c r="AJ11" i="17"/>
  <c r="AI12" i="17"/>
  <c r="AJ4" i="17"/>
  <c r="AJ16" i="17"/>
  <c r="AJ9" i="17"/>
  <c r="AJ6" i="17"/>
  <c r="AJ10" i="17"/>
  <c r="AJ7" i="17"/>
  <c r="AJ17" i="17"/>
  <c r="AJ5" i="17"/>
  <c r="AI19" i="17"/>
  <c r="AN15" i="3"/>
  <c r="AM1" i="17" s="1"/>
  <c r="AM24" i="3"/>
  <c r="AM19" i="3"/>
  <c r="AM23" i="3"/>
  <c r="AM20" i="3"/>
  <c r="AM21" i="3"/>
  <c r="AM22" i="3"/>
  <c r="AK18" i="17" l="1"/>
  <c r="AK11" i="17"/>
  <c r="AK21" i="17"/>
  <c r="AK16" i="17"/>
  <c r="AK9" i="17"/>
  <c r="AK6" i="17"/>
  <c r="AK4" i="17"/>
  <c r="AK5" i="17"/>
  <c r="AK7" i="17"/>
  <c r="AK17" i="17"/>
  <c r="AK10" i="17"/>
  <c r="AJ12" i="17"/>
  <c r="AJ19" i="17"/>
  <c r="AO15" i="3"/>
  <c r="AN1" i="17" s="1"/>
  <c r="AN19" i="3"/>
  <c r="AN21" i="3"/>
  <c r="AN22" i="3"/>
  <c r="AN24" i="3"/>
  <c r="AN23" i="3"/>
  <c r="AN20" i="3"/>
  <c r="AL21" i="17" l="1"/>
  <c r="AL18" i="17"/>
  <c r="AL11" i="17"/>
  <c r="AK12" i="17"/>
  <c r="AL16" i="17"/>
  <c r="AL9" i="17"/>
  <c r="AL5" i="17"/>
  <c r="AL7" i="17"/>
  <c r="AL4" i="17"/>
  <c r="AL17" i="17"/>
  <c r="AL10" i="17"/>
  <c r="AL6" i="17"/>
  <c r="AK19" i="17"/>
  <c r="AP15" i="3"/>
  <c r="AO1" i="17" s="1"/>
  <c r="AO19" i="3"/>
  <c r="AO24" i="3"/>
  <c r="AO20" i="3"/>
  <c r="AO21" i="3"/>
  <c r="AO23" i="3"/>
  <c r="AO22" i="3"/>
  <c r="AM21" i="17" l="1"/>
  <c r="AM11" i="17"/>
  <c r="AM18" i="17"/>
  <c r="AM5" i="17"/>
  <c r="AM7" i="17"/>
  <c r="AM17" i="17"/>
  <c r="AM9" i="17"/>
  <c r="AM10" i="17"/>
  <c r="AM16" i="17"/>
  <c r="AM4" i="17"/>
  <c r="AM6" i="17"/>
  <c r="AL12" i="17"/>
  <c r="AL19" i="17"/>
  <c r="AQ15" i="3"/>
  <c r="AP1" i="17" s="1"/>
  <c r="AP19" i="3"/>
  <c r="AP22" i="3"/>
  <c r="AP20" i="3"/>
  <c r="AP24" i="3"/>
  <c r="AP21" i="3"/>
  <c r="AP23" i="3"/>
  <c r="AN21" i="17" l="1"/>
  <c r="AN18" i="17"/>
  <c r="AN11" i="17"/>
  <c r="AM12" i="17"/>
  <c r="AN17" i="17"/>
  <c r="AN10" i="17"/>
  <c r="AN5" i="17"/>
  <c r="AN7" i="17"/>
  <c r="AN16" i="17"/>
  <c r="AN4" i="17"/>
  <c r="AN9" i="17"/>
  <c r="AN6" i="17"/>
  <c r="AM19" i="17"/>
  <c r="AQ20" i="3"/>
  <c r="AR15" i="3"/>
  <c r="AQ1" i="17" s="1"/>
  <c r="AQ22" i="3"/>
  <c r="AQ19" i="3"/>
  <c r="AQ23" i="3"/>
  <c r="AQ24" i="3"/>
  <c r="AQ21" i="3"/>
  <c r="AO11" i="17" l="1"/>
  <c r="AR11" i="17" s="1"/>
  <c r="AO18" i="17"/>
  <c r="AR18" i="17" s="1"/>
  <c r="AO21" i="17"/>
  <c r="AR21" i="17" s="1"/>
  <c r="AN19" i="17"/>
  <c r="AN12" i="17"/>
  <c r="AO7" i="17"/>
  <c r="AO17" i="17"/>
  <c r="AR17" i="17" s="1"/>
  <c r="AO10" i="17"/>
  <c r="AR10" i="17" s="1"/>
  <c r="AO5" i="17"/>
  <c r="AO6" i="17"/>
  <c r="AO4" i="17"/>
  <c r="AR4" i="17" s="1"/>
  <c r="AO16" i="17"/>
  <c r="AO9" i="17"/>
  <c r="AS15" i="3"/>
  <c r="AR1" i="17" s="1"/>
  <c r="AR22" i="3"/>
  <c r="AR24" i="3"/>
  <c r="AR21" i="3"/>
  <c r="AR20" i="3"/>
  <c r="AR19" i="3"/>
  <c r="AR23" i="3"/>
  <c r="D26" i="17" l="1"/>
  <c r="D34" i="17" s="1"/>
  <c r="D27" i="17"/>
  <c r="D35" i="17" s="1"/>
  <c r="D25" i="17"/>
  <c r="D33" i="17" s="1"/>
  <c r="AR6" i="17"/>
  <c r="AR5" i="17"/>
  <c r="AO12" i="17"/>
  <c r="AR9" i="17"/>
  <c r="AO19" i="17"/>
  <c r="AR16" i="17"/>
  <c r="AS22" i="3"/>
  <c r="AU22" i="3" s="1"/>
  <c r="AU15" i="3"/>
  <c r="AV15" i="3" s="1"/>
  <c r="AW15" i="3" s="1"/>
  <c r="AX15" i="3" s="1"/>
  <c r="AY15" i="3" s="1"/>
  <c r="AZ15" i="3" s="1"/>
  <c r="BA15" i="3" s="1"/>
  <c r="AS23" i="3"/>
  <c r="AU23" i="3" s="1"/>
  <c r="AS24" i="3"/>
  <c r="AU24" i="3" s="1"/>
  <c r="AS20" i="3"/>
  <c r="AU20" i="3" s="1"/>
  <c r="AS19" i="3"/>
  <c r="AU19" i="3" s="1"/>
  <c r="AS21" i="3"/>
  <c r="AU21" i="3" s="1"/>
  <c r="AW22" i="3" l="1"/>
  <c r="AX22" i="3"/>
  <c r="AW20" i="3"/>
  <c r="C29" i="17"/>
  <c r="AR7" i="17"/>
  <c r="C25" i="17" s="1"/>
  <c r="F25" i="17"/>
  <c r="F33" i="17" s="1"/>
  <c r="AR19" i="17"/>
  <c r="C27" i="17" s="1"/>
  <c r="E27" i="17"/>
  <c r="E35" i="17" s="1"/>
  <c r="F27" i="17"/>
  <c r="AR12" i="17"/>
  <c r="C26" i="17" s="1"/>
  <c r="E26" i="17"/>
  <c r="E34" i="17" s="1"/>
  <c r="F26" i="17"/>
  <c r="F34" i="17" s="1"/>
  <c r="E25" i="17"/>
  <c r="J19" i="3"/>
  <c r="L19" i="3"/>
  <c r="J20" i="3"/>
  <c r="L20" i="3"/>
  <c r="J24" i="3"/>
  <c r="L24" i="3"/>
  <c r="J23" i="3"/>
  <c r="L23" i="3"/>
  <c r="J21" i="3"/>
  <c r="L21" i="3"/>
  <c r="J22" i="3"/>
  <c r="L22" i="3"/>
  <c r="I25" i="17" l="1"/>
  <c r="E33" i="17"/>
  <c r="J27" i="17"/>
  <c r="F35" i="17"/>
  <c r="C33" i="17"/>
  <c r="H25" i="17"/>
  <c r="AX20" i="3"/>
  <c r="AX25" i="3" s="1"/>
  <c r="AW25" i="3"/>
  <c r="J25" i="17"/>
  <c r="H27" i="17"/>
  <c r="C35" i="17"/>
  <c r="G27" i="17"/>
  <c r="G25" i="17"/>
  <c r="I27" i="17"/>
  <c r="G35" i="17" l="1"/>
  <c r="H35" i="17"/>
  <c r="I35" i="17"/>
  <c r="I33" i="17"/>
  <c r="H33" i="17"/>
  <c r="G33" i="17"/>
  <c r="I26" i="17"/>
  <c r="C34" i="17"/>
  <c r="G26" i="17"/>
  <c r="H26" i="17"/>
  <c r="J26" i="17"/>
  <c r="G34" i="17" l="1"/>
  <c r="H34" i="17"/>
  <c r="I34" i="17"/>
  <c r="F20" i="16"/>
  <c r="I20" i="16"/>
  <c r="G20" i="16"/>
  <c r="H2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tc={D27374A1-53F7-4FEE-93A8-F381A59A4A56}</author>
  </authors>
  <commentList>
    <comment ref="E2" authorId="0" shapeId="0" xr:uid="{D27374A1-53F7-4FEE-93A8-F381A59A4A56}">
      <text>
        <t>[Threaded comment]
Your version of Excel allows you to read this threaded comment; however, any edits to it will get removed if the file is opened in a newer version of Excel. Learn more: https://go.microsoft.com/fwlink/?linkid=870924
Comment:
    Existing pipe diameter is 70% of upgraded pipe diameter so have pro-rata costs on this basis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tc={A7BEC6CE-6A4A-4806-9DF8-7F67B3EED209}</author>
    <author>tc={6CF800BB-9C84-43FE-B37D-C3A2320B655D}</author>
    <author>tc={BE10407A-B89B-4341-9A6C-121373EDDD48}</author>
    <author>tc={7194FD31-1A6D-4DB9-B11B-6C1CAA69B63E}</author>
    <author>tc={944C86DE-C4F1-40EF-B09F-242CD4299677}</author>
    <author>tc={A63E765A-15DC-4410-90D0-07CD1EA09927}</author>
    <author>tc={2AC01649-9EB2-4795-9342-68D8A718572C}</author>
    <author>tc={81BD03FE-20D9-46D2-92A5-2AB29F45A251}</author>
    <author>tc={3A73E376-D440-4225-A27F-3DEDC35E8B79}</author>
    <author>tc={92B58719-ACDA-4AE6-98FB-AB3EC2C19AE2}</author>
    <author>tc={206E6F54-49FD-4CE4-9539-74E2599052D4}</author>
  </authors>
  <commentList>
    <comment ref="A1" authorId="0" shapeId="0" xr:uid="{A7BEC6CE-6A4A-4806-9DF8-7F67B3EED209}">
      <text>
        <t xml:space="preserve">[Threaded comment]
Your version of Excel allows you to read this threaded comment; however, any edits to it will get removed if the file is opened in a newer version of Excel. Learn more: https://go.microsoft.com/fwlink/?linkid=870924
Comment:
    Identified as a WSP upgrade or extension. </t>
      </text>
    </comment>
    <comment ref="B1" authorId="1" shapeId="0" xr:uid="{6CF800BB-9C84-43FE-B37D-C3A2320B655D}">
      <text>
        <t xml:space="preserve">[Threaded comment]
Your version of Excel allows you to read this threaded comment; however, any edits to it will get removed if the file is opened in a newer version of Excel. Learn more: https://go.microsoft.com/fwlink/?linkid=870924
Comment:
    WSP ID identifier. </t>
      </text>
    </comment>
    <comment ref="C1" authorId="2" shapeId="0" xr:uid="{BE10407A-B89B-4341-9A6C-121373EDDD48}">
      <text>
        <t xml:space="preserve">[Threaded comment]
Your version of Excel allows you to read this threaded comment; however, any edits to it will get removed if the file is opened in a newer version of Excel. Learn more: https://go.microsoft.com/fwlink/?linkid=870924
Comment:
    SAP ID identifier - Auckland Council database of assets. </t>
      </text>
    </comment>
    <comment ref="D1" authorId="3" shapeId="0" xr:uid="{7194FD31-1A6D-4DB9-B11B-6C1CAA69B63E}">
      <text>
        <t xml:space="preserve">[Threaded comment]
Your version of Excel allows you to read this threaded comment; however, any edits to it will get removed if the file is opened in a newer version of Excel. Learn more: https://go.microsoft.com/fwlink/?linkid=870924
Comment:
    Length determined from Auckland GIS data. </t>
      </text>
    </comment>
    <comment ref="E1" authorId="4" shapeId="0" xr:uid="{944C86DE-C4F1-40EF-B09F-242CD4299677}">
      <text>
        <t>[Threaded comment]
Your version of Excel allows you to read this threaded comment; however, any edits to it will get removed if the file is opened in a newer version of Excel. Learn more: https://go.microsoft.com/fwlink/?linkid=870924
Comment:
    Component of Growth for extensions 100%.</t>
      </text>
    </comment>
    <comment ref="F1" authorId="5" shapeId="0" xr:uid="{A63E765A-15DC-4410-90D0-07CD1EA09927}">
      <text>
        <t xml:space="preserve">[Threaded comment]
Your version of Excel allows you to read this threaded comment; however, any edits to it will get removed if the file is opened in a newer version of Excel. Learn more: https://go.microsoft.com/fwlink/?linkid=870924
Comment:
    Existing diameter of pipe identified from Auckland Council GeoMaps. </t>
      </text>
    </comment>
    <comment ref="G1" authorId="6" shapeId="0" xr:uid="{2AC01649-9EB2-4795-9342-68D8A718572C}">
      <text>
        <t xml:space="preserve">[Threaded comment]
Your version of Excel allows you to read this threaded comment; however, any edits to it will get removed if the file is opened in a newer version of Excel. Learn more: https://go.microsoft.com/fwlink/?linkid=870924
Comment:
    Pipe diameter identified from WSP analysis. Inputs include catchment imperviousness of 90% and 2.1 degrees of climate change increase to rainfall. </t>
      </text>
    </comment>
    <comment ref="H1" authorId="7" shapeId="0" xr:uid="{81BD03FE-20D9-46D2-92A5-2AB29F45A251}">
      <text>
        <t>[Threaded comment]
Your version of Excel allows you to read this threaded comment; however, any edits to it will get removed if the file is opened in a newer version of Excel. Learn more: https://go.microsoft.com/fwlink/?linkid=870924
Comment:
    Pipe critical number. (Either 4 or 5). Data obtained from Jean Pierre, Auckland Council GIS files.</t>
      </text>
    </comment>
    <comment ref="I1" authorId="8" shapeId="0" xr:uid="{3A73E376-D440-4225-A27F-3DEDC35E8B79}">
      <text>
        <t>[Threaded comment]
Your version of Excel allows you to read this threaded comment; however, any edits to it will get removed if the file is opened in a newer version of Excel. Learn more: https://go.microsoft.com/fwlink/?linkid=870924
Comment:
    Pipe condition number. Data obtained from Jean Pierre, Auckland Council GIS files.
Reply:
    Pipes which are not surveyed do not have a condition number.</t>
      </text>
    </comment>
    <comment ref="K1" authorId="9" shapeId="0" xr:uid="{92B58719-ACDA-4AE6-98FB-AB3EC2C19AE2}">
      <text>
        <t xml:space="preserve">[Threaded comment]
Your version of Excel allows you to read this threaded comment; however, any edits to it will get removed if the file is opened in a newer version of Excel. Learn more: https://go.microsoft.com/fwlink/?linkid=870924
Comment:
    WSP identified network servicing KO lots. The timing of the network is governed by the WSP upgrade / extension servicing the superlot stages outlined in the KO GINW, Pt England &amp; Panmure North SMP's. Note the stages for Omaru and Panmure North correspond to alternative timings. </t>
      </text>
    </comment>
    <comment ref="L1" authorId="10" shapeId="0" xr:uid="{206E6F54-49FD-4CE4-9539-74E2599052D4}">
      <text>
        <t>[Threaded comment]
Your version of Excel allows you to read this threaded comment; however, any edits to it will get removed if the file is opened in a newer version of Excel. Learn more: https://go.microsoft.com/fwlink/?linkid=870924
Comment:
    Auckland Council MSM Zone, sourced from Boris.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tc={5C3A6872-60D1-46D1-9DEA-7B13DD61D978}</author>
    <author>tc={A96893C1-D796-4363-92E6-D4052AB41F56}</author>
    <author>tc={F9C6CB18-9B98-45FF-BA6C-6B699CE1E617}</author>
    <author>tc={C222FE13-5ACA-48C4-AD5B-F74A40FA4C11}</author>
    <author>tc={4E863777-999F-4155-9A5A-33576EBB744F}</author>
    <author>tc={5D389B20-EF3E-4288-A4A2-DF547E2E81E8}</author>
  </authors>
  <commentList>
    <comment ref="A2" authorId="0" shapeId="0" xr:uid="{5C3A6872-60D1-46D1-9DEA-7B13DD61D978}">
      <text>
        <t xml:space="preserve">[Threaded comment]
Your version of Excel allows you to read this threaded comment; however, any edits to it will get removed if the file is opened in a newer version of Excel. Learn more: https://go.microsoft.com/fwlink/?linkid=870924
Comment:
    Identified as a WSP upgrade or extension. </t>
      </text>
    </comment>
    <comment ref="C2" authorId="1" shapeId="0" xr:uid="{A96893C1-D796-4363-92E6-D4052AB41F56}">
      <text>
        <t xml:space="preserve">[Threaded comment]
Your version of Excel allows you to read this threaded comment; however, any edits to it will get removed if the file is opened in a newer version of Excel. Learn more: https://go.microsoft.com/fwlink/?linkid=870924
Comment:
    SAP ID identifier - Auckland Council database of assets. </t>
      </text>
    </comment>
    <comment ref="D2" authorId="2" shapeId="0" xr:uid="{F9C6CB18-9B98-45FF-BA6C-6B699CE1E617}">
      <text>
        <t xml:space="preserve">[Threaded comment]
Your version of Excel allows you to read this threaded comment; however, any edits to it will get removed if the file is opened in a newer version of Excel. Learn more: https://go.microsoft.com/fwlink/?linkid=870924
Comment:
    Length determined from Auckland GIS data. </t>
      </text>
    </comment>
    <comment ref="F2" authorId="3" shapeId="0" xr:uid="{C222FE13-5ACA-48C4-AD5B-F74A40FA4C11}">
      <text>
        <t xml:space="preserve">[Threaded comment]
Your version of Excel allows you to read this threaded comment; however, any edits to it will get removed if the file is opened in a newer version of Excel. Learn more: https://go.microsoft.com/fwlink/?linkid=870924
Comment:
    Existing diameter of pipe identified from Auckland Council GeoMaps. </t>
      </text>
    </comment>
    <comment ref="G2" authorId="4" shapeId="0" xr:uid="{4E863777-999F-4155-9A5A-33576EBB744F}">
      <text>
        <t xml:space="preserve">[Threaded comment]
Your version of Excel allows you to read this threaded comment; however, any edits to it will get removed if the file is opened in a newer version of Excel. Learn more: https://go.microsoft.com/fwlink/?linkid=870924
Comment:
    Pipe diameter identified from WSP analysis. Inputs include catchment imperviousness of 90% and 2.1 degrees of climate change increase to rainfall. </t>
      </text>
    </comment>
    <comment ref="H2" authorId="5" shapeId="0" xr:uid="{5D389B20-EF3E-4288-A4A2-DF547E2E81E8}">
      <text>
        <t xml:space="preserve">[Threaded comment]
Your version of Excel allows you to read this threaded comment; however, any edits to it will get removed if the file is opened in a newer version of Excel. Learn more: https://go.microsoft.com/fwlink/?linkid=870924
Comment:
    Pipe critical number. (Either 4 or 5). Data obtained from Jean Pierre, Auckland Council GIS files.
Reply:
    If not 4 or 5 not displayed.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tc={7C0E0EBA-9143-4A6B-87E7-948C118242A7}</author>
    <author>tc={21BC5412-0E6A-4949-9A00-5C3ADD877D93}</author>
  </authors>
  <commentList>
    <comment ref="M8" authorId="0" shapeId="0" xr:uid="{7C0E0EBA-9143-4A6B-87E7-948C118242A7}">
      <text>
        <t>[Threaded comment]
Your version of Excel allows you to read this threaded comment; however, any edits to it will get removed if the file is opened in a newer version of Excel. Learn more: https://go.microsoft.com/fwlink/?linkid=870924
Comment:
    Project no longer catering for growth</t>
      </text>
    </comment>
    <comment ref="N8" authorId="1" shapeId="0" xr:uid="{21BC5412-0E6A-4949-9A00-5C3ADD877D93}">
      <text>
        <t>[Threaded comment]
Your version of Excel allows you to read this threaded comment; however, any edits to it will get removed if the file is opened in a newer version of Excel. Learn more: https://go.microsoft.com/fwlink/?linkid=870924
Comment:
    Project no longer catering for growth</t>
      </text>
    </comment>
  </commentList>
</comments>
</file>

<file path=xl/sharedStrings.xml><?xml version="1.0" encoding="utf-8"?>
<sst xmlns="http://schemas.openxmlformats.org/spreadsheetml/2006/main" count="11095" uniqueCount="280">
  <si>
    <t>Upgrade/ Extension</t>
  </si>
  <si>
    <t xml:space="preserve">WSP ID </t>
  </si>
  <si>
    <t xml:space="preserve">SAP ID </t>
  </si>
  <si>
    <t>Length of Upgrade(m)</t>
  </si>
  <si>
    <t xml:space="preserve">Length of Extension(m) </t>
  </si>
  <si>
    <t>Existing Diameter (mm)</t>
  </si>
  <si>
    <t>Pipe Diameter (90% IMP +2.1) (mm)</t>
  </si>
  <si>
    <t>Critical Number</t>
  </si>
  <si>
    <t>Condition Number</t>
  </si>
  <si>
    <t>Renewal%</t>
  </si>
  <si>
    <t xml:space="preserve">KO Timing </t>
  </si>
  <si>
    <t xml:space="preserve">MSM Zone </t>
  </si>
  <si>
    <t>Installation Method</t>
  </si>
  <si>
    <t>Reinstatement Needed</t>
  </si>
  <si>
    <t>Pipe DIA (90% IMP +2.1) (mm) Direct Works Cost total ($)</t>
  </si>
  <si>
    <t>Pipe DIA (90% IMP +2.1) (mm) Budget Cost/lm (rate)</t>
  </si>
  <si>
    <t>Expected Fees Cost total ($)</t>
  </si>
  <si>
    <t>Expected Base Estimate ($)</t>
  </si>
  <si>
    <t>Contingency (%)</t>
  </si>
  <si>
    <t>Contingency Cost total ($)</t>
  </si>
  <si>
    <t>P50 Expected Estimate in PDV($)</t>
  </si>
  <si>
    <t>Upgrade</t>
  </si>
  <si>
    <t>NA</t>
  </si>
  <si>
    <t>Open Cut</t>
  </si>
  <si>
    <t>Road</t>
  </si>
  <si>
    <t>Extension</t>
  </si>
  <si>
    <t>GINW - Stage 4</t>
  </si>
  <si>
    <t>Not Surveyed</t>
  </si>
  <si>
    <t>GINW - Stage 3</t>
  </si>
  <si>
    <t>GINW - Stage 1</t>
  </si>
  <si>
    <t>GINW - Stage 6</t>
  </si>
  <si>
    <t>GINW - Stage 8</t>
  </si>
  <si>
    <t>GINW - Stage 2</t>
  </si>
  <si>
    <t>GINW - Stage 5</t>
  </si>
  <si>
    <t>PEPN - Phase 2</t>
  </si>
  <si>
    <t>PEPN - Stage 7</t>
  </si>
  <si>
    <t>B.007</t>
  </si>
  <si>
    <t>GINW - Stage 7</t>
  </si>
  <si>
    <t>B.006</t>
  </si>
  <si>
    <t>GINW - Stage 9</t>
  </si>
  <si>
    <t>B.015</t>
  </si>
  <si>
    <t>B.014</t>
  </si>
  <si>
    <t>B.002</t>
  </si>
  <si>
    <t>B.013</t>
  </si>
  <si>
    <t>B.012</t>
  </si>
  <si>
    <t>B.011</t>
  </si>
  <si>
    <t>B.010</t>
  </si>
  <si>
    <t>B.001</t>
  </si>
  <si>
    <t>Renewal</t>
  </si>
  <si>
    <t>PEPN - Phase 3</t>
  </si>
  <si>
    <t xml:space="preserve">PEPN - Stage 1 </t>
  </si>
  <si>
    <t>PEPN - Stage 5</t>
  </si>
  <si>
    <t>PEPN - Stage 2</t>
  </si>
  <si>
    <t>PEPN - Stage 3</t>
  </si>
  <si>
    <t>PEPN - Stage 4</t>
  </si>
  <si>
    <t>PEPN - Stage 6</t>
  </si>
  <si>
    <t xml:space="preserve">$-   </t>
  </si>
  <si>
    <t xml:space="preserve"> $-   </t>
  </si>
  <si>
    <t>Project Type</t>
  </si>
  <si>
    <t>Pipe Criticality</t>
  </si>
  <si>
    <t>Pipe Condition</t>
  </si>
  <si>
    <t>Expected rate of renewal over period</t>
  </si>
  <si>
    <t>Replacement cost as % of total Project cost</t>
  </si>
  <si>
    <t>Renewal share to be applied</t>
  </si>
  <si>
    <t>Comment</t>
  </si>
  <si>
    <t>4 or 5</t>
  </si>
  <si>
    <t xml:space="preserve">4 or 5 </t>
  </si>
  <si>
    <t xml:space="preserve">100% of condition 4 and 5  critical pipes to be replaced within next 5-10 years. </t>
  </si>
  <si>
    <t>30% of condition 3 critical pipes expected to degrade to condition 4 or 5 and require replacement within 30 years</t>
  </si>
  <si>
    <t>1 or 2</t>
  </si>
  <si>
    <t>New pipes, no renewal expected over 30 years.</t>
  </si>
  <si>
    <t>Condition unknown, applied average rate of renewal across all critical pipes, see table below</t>
  </si>
  <si>
    <t>1,2 or 3</t>
  </si>
  <si>
    <t>All</t>
  </si>
  <si>
    <t>Reactive replacement only, where pipe has failed. Expect to replace 3.8% of non-critical pipes over 30 years</t>
  </si>
  <si>
    <t>N/A</t>
  </si>
  <si>
    <t>New asset, no renewal</t>
  </si>
  <si>
    <t>Renewal only</t>
  </si>
  <si>
    <t>Renewal only projects</t>
  </si>
  <si>
    <t>Condition Rating for Critical Pipes (4 or 5 Criticality)</t>
  </si>
  <si>
    <t>Pipe Condition:</t>
  </si>
  <si>
    <t>Total</t>
  </si>
  <si>
    <t>% of Critical pipes in this conditon</t>
  </si>
  <si>
    <t>Expected Replacement Rate Over Period</t>
  </si>
  <si>
    <t>Average Replacement across pipe network</t>
  </si>
  <si>
    <t>Vlookup Table for Criticality  4 and 5</t>
  </si>
  <si>
    <t>Conditon</t>
  </si>
  <si>
    <t>Renewal Rate</t>
  </si>
  <si>
    <t>Unescalated Costs</t>
  </si>
  <si>
    <t>Total Cost Unescalated Inclusive of Renewal and LOS over 30 years</t>
  </si>
  <si>
    <t>Hyperion code</t>
  </si>
  <si>
    <t>WBS code</t>
  </si>
  <si>
    <t>Sentient ID / unique identifier</t>
  </si>
  <si>
    <t>Project</t>
  </si>
  <si>
    <t>Status</t>
  </si>
  <si>
    <t>In LTP</t>
  </si>
  <si>
    <t>Phased</t>
  </si>
  <si>
    <t>Start Date</t>
  </si>
  <si>
    <t>End Date</t>
  </si>
  <si>
    <t>Total Cost</t>
  </si>
  <si>
    <t>Renewal %</t>
  </si>
  <si>
    <t>Renewal ($) Unescalated</t>
  </si>
  <si>
    <t>consideration: 
benefit to growth %</t>
  </si>
  <si>
    <t>consideration: 
caused by growth %</t>
  </si>
  <si>
    <t>Growth %</t>
  </si>
  <si>
    <t>Level of Service %</t>
  </si>
  <si>
    <t>Total Unescalated</t>
  </si>
  <si>
    <t>Yes</t>
  </si>
  <si>
    <t>No</t>
  </si>
  <si>
    <t>Tamaki Pipe network - Upgrades</t>
  </si>
  <si>
    <t>To do</t>
  </si>
  <si>
    <t>Tamaki Pipe network - Extensions</t>
  </si>
  <si>
    <t>Tamaki Pipe network - Renewal only</t>
  </si>
  <si>
    <t>Escalation Rates</t>
  </si>
  <si>
    <t>Construction Escalation from CEU</t>
  </si>
  <si>
    <t>Compounded Escalation</t>
  </si>
  <si>
    <t>Escalated Costs</t>
  </si>
  <si>
    <t>Total Cost Escalated Inclusive of Renewal and LOS over 30 years</t>
  </si>
  <si>
    <t>Renewal ($) Escalated</t>
  </si>
  <si>
    <t>WSP ID</t>
  </si>
  <si>
    <t xml:space="preserve">Length of Extension (m) </t>
  </si>
  <si>
    <t xml:space="preserve">Critical Number </t>
  </si>
  <si>
    <t/>
  </si>
  <si>
    <t xml:space="preserve">Condition Number </t>
  </si>
  <si>
    <t>MSM Zone</t>
  </si>
  <si>
    <t xml:space="preserve">Extension </t>
  </si>
  <si>
    <t>Ko Pipes Excluded Scenario 3</t>
  </si>
  <si>
    <t>Length of Upgrade/ Extension (m)</t>
  </si>
  <si>
    <t>Renewal Share</t>
  </si>
  <si>
    <t>LOS/Growth Share</t>
  </si>
  <si>
    <t>Consultation</t>
  </si>
  <si>
    <t>Pilkington Road stormwater pipe upgrade and propriety device</t>
  </si>
  <si>
    <t>Total Exc Renewal</t>
  </si>
  <si>
    <t>Scenario</t>
  </si>
  <si>
    <t>Investment Period</t>
  </si>
  <si>
    <t>Growth Period:</t>
  </si>
  <si>
    <t>End</t>
  </si>
  <si>
    <t>Start</t>
  </si>
  <si>
    <t>Total growth</t>
  </si>
  <si>
    <t>% growth per year</t>
  </si>
  <si>
    <t>Annual change</t>
  </si>
  <si>
    <t>Tamaki total</t>
  </si>
  <si>
    <t>% zone</t>
  </si>
  <si>
    <t>MSM zones</t>
  </si>
  <si>
    <t>Start Year:</t>
  </si>
  <si>
    <t>End Year:</t>
  </si>
  <si>
    <t>Rephased annual growth for Tamaki</t>
  </si>
  <si>
    <t>Cumlative growth from year to 2054</t>
  </si>
  <si>
    <t>Total growth over rephased period</t>
  </si>
  <si>
    <t>Total excluding Renewal Only</t>
  </si>
  <si>
    <t>The list has been updated to reflect if the project is in the 10 year LTP list.  If not then it will be included in year 11 or beyond.  Red numbers are the ideal scenario but projects and funds are not in the current LTP.</t>
  </si>
  <si>
    <t>Yellow highlight are projects that are needed for Tamaki full buildout but aren't in the current LTP.</t>
  </si>
  <si>
    <t>Red highlights are projects that have been withdrawn from the 30 yr DC list and are also not in the LTP.</t>
  </si>
  <si>
    <t>Splits from LTP list for sign-off as at 28 May 2024</t>
  </si>
  <si>
    <t>Important notes</t>
  </si>
  <si>
    <t>LTP Forecast</t>
  </si>
  <si>
    <t>Project name</t>
  </si>
  <si>
    <t>Project description</t>
  </si>
  <si>
    <t xml:space="preserve">LTP 2024 </t>
  </si>
  <si>
    <t xml:space="preserve">KO JWP </t>
  </si>
  <si>
    <t>In 30 yr DC</t>
  </si>
  <si>
    <t>Growth
%</t>
  </si>
  <si>
    <t>Level of Service 
%</t>
  </si>
  <si>
    <t>Renewal
%</t>
  </si>
  <si>
    <t xml:space="preserve">Benefit considerations  % benefit to growth
</t>
  </si>
  <si>
    <t xml:space="preserve">Cause considerations % caused by growth
</t>
  </si>
  <si>
    <t xml:space="preserve">DC growth 
%
</t>
  </si>
  <si>
    <t>Capacity year</t>
  </si>
  <si>
    <t>Forecast cost 2024/25</t>
  </si>
  <si>
    <t>Forecast cost 2025/26</t>
  </si>
  <si>
    <t>Forecast cost 2026/27</t>
  </si>
  <si>
    <t>Forecast cost 2027/28</t>
  </si>
  <si>
    <t>Forecast cost 2028/29</t>
  </si>
  <si>
    <t>Forecast cost 2029/30</t>
  </si>
  <si>
    <t>Forecast cost 2030/31</t>
  </si>
  <si>
    <t>Forecast cost 2031/32</t>
  </si>
  <si>
    <t>Forecast cost 2032/33</t>
  </si>
  <si>
    <t>Forecast cost 2033/34</t>
  </si>
  <si>
    <t xml:space="preserve">Total  forecast capital expenditure for LTP period </t>
  </si>
  <si>
    <t>Total Actuals from SAP - Life of project to date 
As at Apr 24</t>
  </si>
  <si>
    <t>Is this project funded from external source (not included in inflated costs) Yes / No</t>
  </si>
  <si>
    <t>PC3201409</t>
  </si>
  <si>
    <t>N.009877.60</t>
  </si>
  <si>
    <t>CPT AHP: Maybury Reserve Integrated Stormwater</t>
  </si>
  <si>
    <t>The proposed works described in this business case is primarily to support and enable the development and intensification of the Tamaki SPA. This includes construction of 4small GPTs, detention facility and stream enhancements to support upstream development</t>
  </si>
  <si>
    <t>CF works planned for June 2028.  HW need to start Oct 2027 to fit in with timing.  Stream works for erosion/water quality already needed.  Getting  recosted</t>
  </si>
  <si>
    <t>Stormwater</t>
  </si>
  <si>
    <t>N.010936</t>
  </si>
  <si>
    <t>Johnson Reserve Daylighting (Larsen Road)</t>
  </si>
  <si>
    <t>To improve water quality for runoff to the Tamaki Estuary and reduce erosion hotspots within the reach. This project will support upstream growth in the Tamaki catchment.</t>
  </si>
  <si>
    <t>Needed to enable KO dvlpt in currently active neighbourhoods as reserve will take a lot of water from their dvlpt. CF planning works for upcoming financial year.</t>
  </si>
  <si>
    <t xml:space="preserve">300k from Tamaki Infrastructure Investment Fund for initial work.  No further funds available. </t>
  </si>
  <si>
    <t>PC3201341</t>
  </si>
  <si>
    <t>N.007102.60</t>
  </si>
  <si>
    <t>Point England Reserve Online SW Pond Renewal [2483]</t>
  </si>
  <si>
    <t>To renew the stormwater pond to restore water quality treatment functions and create a higher amenity wetland.</t>
  </si>
  <si>
    <t>N.010940</t>
  </si>
  <si>
    <t>CPT: Boundary Reserve In-stream and Wastewater Diversion (part KO)</t>
  </si>
  <si>
    <t xml:space="preserve">1.	This project will unlock the development for Megalot 1.1c which is due to start by November, 2022 as well as upstream catchment.
2.	To offset onsite hydrology mitigation requirements.
3.	Align the project with WW requirements
4.	Upgrade the WW network
</t>
  </si>
  <si>
    <t>40% KO funded, remaining HWs budget</t>
  </si>
  <si>
    <t xml:space="preserve">Yes </t>
  </si>
  <si>
    <t>N.011363</t>
  </si>
  <si>
    <t>Howard Hunter Tributary Erosion management [2542]</t>
  </si>
  <si>
    <t xml:space="preserve"> To resolve stream bank erosion and stabiliise existing stream banks
 To maintain open watercourse habitat
 To improve water quality by reducing sediment loads from bank erosion
 To improve overall habitat quality of the stream</t>
  </si>
  <si>
    <t>TBC</t>
  </si>
  <si>
    <t>N.011178.60</t>
  </si>
  <si>
    <t>CPT AHP: Dunkirk</t>
  </si>
  <si>
    <t>To upgrade a culvert to allow for upstream development</t>
  </si>
  <si>
    <t>Complete</t>
  </si>
  <si>
    <t>N.009127.60</t>
  </si>
  <si>
    <t>CPT: Taniwha Reserve Communal Detention Wetland [2600]</t>
  </si>
  <si>
    <t>To enable growth through the provision of the required stormwater detention under the SMAF2 framework
and to improve water quality and reduce bank erosion downstream on Omaru Creek</t>
  </si>
  <si>
    <t>N.004327</t>
  </si>
  <si>
    <t>CPT: Tamaki College flood mitigation SPA [2118]</t>
  </si>
  <si>
    <t xml:space="preserve">To provide a stormwater management solution to mitigate flooding on Tāmaki College that enables residential intensification upstream. The project proposes to construct a new stormwater pipe through Tāmaki College with a new culvert under Taniwha Street. The proposal requires a new inlet at Elstree North Reserve and a new outfall to replace an existing outfall at Point England Reserve._x000D_
_x000D_
 _x000D_
_x000D_
</t>
  </si>
  <si>
    <t>N.010932</t>
  </si>
  <si>
    <t>CPT: Tamaki College flood mitigation SPB [2118]</t>
  </si>
  <si>
    <t>1. To mitigate stormwater flooding from the proposed upstream residential development via a single council owned asset developed and constructed in collaboration with Kainga Ora. This project will construct the new pipeline.
2. To alleviate flooding in Tamaki College</t>
  </si>
  <si>
    <t>PC3201601</t>
  </si>
  <si>
    <t>N.009059.55</t>
  </si>
  <si>
    <t>Glen Innes Town Centre - Water Quality Improvements</t>
  </si>
  <si>
    <t>Improve the water quality within the Glen Innes town center through the installation of treatment devices which are designed to capture gross pollutants from growth and existing town centre users.</t>
  </si>
  <si>
    <t>N.010938.60</t>
  </si>
  <si>
    <t>CPT: Boundary Reserve West Wetland and Daylighting (IFFA funded)</t>
  </si>
  <si>
    <t>To improve water quality discharging to the Tamaki Estuary, including the daylighting of the existing stormwater pipe through the Boundary Reserve.</t>
  </si>
  <si>
    <t>Fully funded by Tamaki Infrastructure Investment Fund.</t>
  </si>
  <si>
    <t>N.009873</t>
  </si>
  <si>
    <t>Stormwater Pipe Upgrade within Eastern Busway Stage 1 (EB1)</t>
  </si>
  <si>
    <t xml:space="preserve">Upgrade storm water system within AMETI EB1 stage by entering into Development Agreement with Auckland Transport </t>
  </si>
  <si>
    <t>Withdrawn</t>
  </si>
  <si>
    <t>Withdrawn as done through other means.</t>
  </si>
  <si>
    <t>Delivery Year (KO)</t>
  </si>
  <si>
    <t>Delivery Year (AC)</t>
  </si>
  <si>
    <t>Total cost</t>
  </si>
  <si>
    <t>N.011220</t>
  </si>
  <si>
    <t>To provide for Growth in the spatial priority area (SPA)
and to upgrade/replace existing Stormwater asset with high criticality value</t>
  </si>
  <si>
    <t>Snip from Alta costing of latest Pilkington Rd design</t>
  </si>
  <si>
    <t>Base Estimate</t>
  </si>
  <si>
    <t xml:space="preserve">Base Estimate                                          </t>
  </si>
  <si>
    <t>Sum of phases 1 to 5</t>
  </si>
  <si>
    <t>Contingency</t>
  </si>
  <si>
    <t>P50 Expected Estimate</t>
  </si>
  <si>
    <t>Escalation:</t>
  </si>
  <si>
    <t>Total Cost per year unescalated</t>
  </si>
  <si>
    <t>consideration: 
 benefit to growth %</t>
  </si>
  <si>
    <t>Renewal $</t>
  </si>
  <si>
    <t>Growth $</t>
  </si>
  <si>
    <t>LOS</t>
  </si>
  <si>
    <t>Check</t>
  </si>
  <si>
    <t>LOS %</t>
  </si>
  <si>
    <t>Summary table of the stormwater options for Tamaki and the indicative DC price per HUE (does not include the cost of onsite mitigation)</t>
  </si>
  <si>
    <t>Total Escalated</t>
  </si>
  <si>
    <t>Growth share</t>
  </si>
  <si>
    <t>Renewal ($) escalated</t>
  </si>
  <si>
    <t>Total Cost Unescalated</t>
  </si>
  <si>
    <t>Total Tamaki inc Catchment wide projects</t>
  </si>
  <si>
    <t>Catchment wide projects Total</t>
  </si>
  <si>
    <r>
      <t>​</t>
    </r>
    <r>
      <rPr>
        <sz val="10"/>
        <color rgb="FF212121"/>
        <rFont val="Arial"/>
        <family val="2"/>
      </rPr>
      <t>Option 3: All Primary Network Upgraded (Revised Consultation Proposal)</t>
    </r>
  </si>
  <si>
    <t>Project descriptions</t>
  </si>
  <si>
    <t>Renewing and upgrading of a water quality treatment pond to help support upstream growth</t>
  </si>
  <si>
    <t>Stream enhancement, daylighting and erosion protection to offset hydrology mitigation required of developers in Panmure North</t>
  </si>
  <si>
    <t>Public pipe network upgrades required to mitigate flood hazard within the road reserve (in line with assessmnet criteria in the Flood Recovery Office) for storm events up to a 10-year return period. This scenario excludes the pipe infrastructure that will be provided by Kainga Ora to service their neighbourhoods.</t>
  </si>
  <si>
    <t>Public pipe network extensions required to mitigate flood hazard within the road reserve (in line with assessmnet criteria in the Flood Recovery Office) for storm events up to a 10-year return period. This scenario excludes the pipe infrastructure that will be provided by Kainga Ora to service their neighbourhoods.</t>
  </si>
  <si>
    <t>Public pipe renewal only</t>
  </si>
  <si>
    <t>Public pipe network upgrades required to mitigate nuisance flooding within the catchment for storm events up to a 10-year return period. This scenario excludes the pipe infrastructure that will be provided by Kainga Ora to service their neighbourhoods.</t>
  </si>
  <si>
    <t>Public pipe network extensions required to mitigate nuisance flooding within the catchment for storm events up to a 10-year return period. This scenario excludes the pipe infrastructure that will be provided by Kainga Ora to service their neighbourhoods.</t>
  </si>
  <si>
    <t>Puplic pipe renewal only</t>
  </si>
  <si>
    <t>Rates share</t>
  </si>
  <si>
    <t>To provide stormwater improvements which will support the development of the wider Tamaki area to facilitate the overall growth strategy and support the establishment of a healthy, connected and desirable local community.</t>
  </si>
  <si>
    <t xml:space="preserve">Option2: Upgrades prioritised for road safety (New option) </t>
  </si>
  <si>
    <t>Option 3: All Primary Network Upgraded (Revised Consultation Proposal)</t>
  </si>
  <si>
    <t>Public pipe network upgrades required to mitigate nuisance flooding within the catchment for storm events up to a 10-year return period. This scenario includes all the pipe infrastructure</t>
  </si>
  <si>
    <t>Public pipe network extensions required to mitigate nuisance flooding within the catchment for storm events up to a 10-year return period. This scenario includes all the pipe infrastructure</t>
  </si>
  <si>
    <t>Public pipe network upgrades/extensions required to mitigate nuisance flooding within the catchment for storm events up to a 10-year return period. This scenario includes all the pipe infrastructure</t>
  </si>
  <si>
    <t>Public pipe network upgrades/extensions required to mitigate flood hazard within the road reserve (in line with assessmnet criteria in the Flood Recovery Office) for storm events up to a 10-year return period. This scenario excludes the pipe infrastructure that will be provided by Kainga Ora to service their neighbourhoods.</t>
  </si>
  <si>
    <t>Status quo: Renewal Only</t>
  </si>
  <si>
    <t>Scenario 2</t>
  </si>
  <si>
    <t>Project no longer catering for growth</t>
  </si>
  <si>
    <t>LOS $</t>
  </si>
  <si>
    <t>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</si>
</sst>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0.0%"/>
    <numFmt numFmtId="165" formatCode="0.000%"/>
    <numFmt numFmtId="166" formatCode="0.000"/>
    <numFmt numFmtId="167" formatCode="0.0"/>
    <numFmt numFmtId="168" formatCode="#,##0.0"/>
    <numFmt numFmtId="169" formatCode="&quot;$&quot;#,##0"/>
    <numFmt numFmtId="170" formatCode="#,##0_ ;[Red]\-#,##0\ "/>
    <numFmt numFmtId="171" formatCode="_-* #,##0_-;\-* #,##0_-;_-* &quot;-&quot;??_-;_-@_-"/>
    <numFmt numFmtId="172" formatCode="_-&quot;$&quot;* #,##0_-;\-&quot;$&quot;* #,##0_-;_-&quot;$&quot;* &quot;-&quot;??_-;_-@_-"/>
  </numFmts>
  <fonts count="4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0"/>
      <name val="Calibri"/>
      <family val="2"/>
    </font>
    <font>
      <sz val="10"/>
      <color theme="1"/>
      <name val="Calibri"/>
      <family val="2"/>
      <scheme val="minor"/>
    </font>
    <font>
      <sz val="11"/>
      <color rgb="FF000000"/>
      <name val="Aptos Narrow"/>
      <family val="2"/>
    </font>
    <font>
      <sz val="11"/>
      <color rgb="FF000000"/>
      <name val="Calibri"/>
      <family val="2"/>
      <scheme val="minor"/>
    </font>
    <font>
      <sz val="11"/>
      <color rgb="FF3F3F3F"/>
      <name val="Aptos Narrow"/>
      <family val="2"/>
    </font>
    <font>
      <b/>
      <sz val="11"/>
      <color theme="0"/>
      <name val="Calibri"/>
      <family val="2"/>
    </font>
    <font>
      <sz val="11"/>
      <color theme="1"/>
      <name val="Calibri"/>
      <family val="2"/>
    </font>
    <font>
      <b/>
      <sz val="11"/>
      <color theme="1"/>
      <name val="Calibri"/>
      <family val="2"/>
    </font>
    <font>
      <b/>
      <sz val="14"/>
      <name val="Calibri"/>
      <family val="2"/>
      <scheme val="minor"/>
    </font>
    <font>
      <sz val="11"/>
      <color theme="3"/>
      <name val="Calibri"/>
      <family val="2"/>
      <scheme val="minor"/>
    </font>
    <font>
      <b/>
      <sz val="11"/>
      <color theme="1" tint="0.34998626667073579"/>
      <name val="Calibri"/>
      <family val="2"/>
      <scheme val="minor"/>
    </font>
    <font>
      <sz val="11"/>
      <name val="Calibri"/>
      <family val="2"/>
      <scheme val="minor"/>
    </font>
    <font>
      <b/>
      <sz val="11"/>
      <name val="Calibri"/>
      <family val="2"/>
      <scheme val="minor"/>
    </font>
    <font>
      <sz val="11"/>
      <color theme="1" tint="0.34998626667073579"/>
      <name val="Calibri"/>
      <family val="2"/>
      <scheme val="minor"/>
    </font>
    <font>
      <sz val="11"/>
      <color theme="1"/>
      <name val="Arial"/>
      <family val="2"/>
    </font>
    <font>
      <sz val="11"/>
      <color rgb="FF006100"/>
      <name val="Calibri"/>
      <family val="2"/>
      <scheme val="minor"/>
    </font>
    <font>
      <sz val="11"/>
      <color rgb="FF000000"/>
      <name val="Calibri"/>
      <family val="2"/>
    </font>
    <font>
      <sz val="14"/>
      <color theme="0"/>
      <name val="Calibri"/>
      <family val="2"/>
    </font>
    <font>
      <sz val="10"/>
      <color rgb="FF000000"/>
      <name val="Calibri"/>
      <family val="2"/>
      <scheme val="minor"/>
    </font>
    <font>
      <sz val="10"/>
      <color rgb="FF3F3F3F"/>
      <name val="Calibri"/>
      <family val="2"/>
      <scheme val="minor"/>
    </font>
    <font>
      <b/>
      <sz val="12"/>
      <color theme="1"/>
      <name val="Calibri"/>
      <family val="2"/>
      <scheme val="minor"/>
    </font>
    <font>
      <b/>
      <sz val="12"/>
      <color theme="0"/>
      <name val="Calibri"/>
      <family val="2"/>
      <scheme val="minor"/>
    </font>
    <font>
      <sz val="10"/>
      <color theme="2" tint="-0.89999084444715716"/>
      <name val="Calibri"/>
      <family val="2"/>
      <scheme val="minor"/>
    </font>
    <font>
      <sz val="10"/>
      <color rgb="FF000000"/>
      <name val="Calibri"/>
      <family val="2"/>
    </font>
    <font>
      <b/>
      <sz val="10"/>
      <name val="Arial"/>
      <family val="2"/>
    </font>
    <font>
      <b/>
      <sz val="11"/>
      <color rgb="FF000000"/>
      <name val="Aptos Narrow"/>
      <family val="2"/>
    </font>
    <font>
      <b/>
      <sz val="11"/>
      <color rgb="FFFF0000"/>
      <name val="Calibri"/>
      <family val="2"/>
      <scheme val="minor"/>
    </font>
    <font>
      <sz val="10"/>
      <color theme="1"/>
      <name val="Calibri"/>
      <family val="2"/>
    </font>
    <font>
      <sz val="10"/>
      <name val="Arial"/>
      <family val="2"/>
    </font>
    <font>
      <sz val="10"/>
      <name val="Calibri"/>
      <family val="2"/>
      <scheme val="minor"/>
    </font>
    <font>
      <b/>
      <sz val="12"/>
      <color theme="1"/>
      <name val="Arial"/>
      <family val="2"/>
    </font>
    <font>
      <sz val="11"/>
      <name val="Arial"/>
      <family val="2"/>
    </font>
    <font>
      <i/>
      <sz val="11"/>
      <color theme="2" tint="-0.499984740745262"/>
      <name val="Arial"/>
      <family val="2"/>
    </font>
    <font>
      <b/>
      <sz val="14"/>
      <name val="Arial"/>
      <family val="2"/>
    </font>
    <font>
      <sz val="10"/>
      <color rgb="FF212121"/>
      <name val="Arial"/>
      <family val="2"/>
    </font>
    <font>
      <b/>
      <sz val="14"/>
      <color theme="0"/>
      <name val="Calibri"/>
      <family val="2"/>
    </font>
    <font>
      <b/>
      <sz val="10"/>
      <color theme="0"/>
      <name val="Calibri"/>
      <family val="2"/>
    </font>
  </fonts>
  <fills count="18">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tint="-0.499984740745262"/>
        <bgColor theme="4" tint="0.79998168889431442"/>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C6EFCE"/>
      </patternFill>
    </fill>
    <fill>
      <patternFill patternType="solid">
        <fgColor rgb="FFC0C0C0"/>
        <bgColor rgb="FF000000"/>
      </patternFill>
    </fill>
    <fill>
      <patternFill patternType="solid">
        <fgColor theme="3" tint="0.79998168889431442"/>
        <bgColor indexed="64"/>
      </patternFill>
    </fill>
    <fill>
      <patternFill patternType="solid">
        <fgColor theme="3" tint="0.749992370372631"/>
        <bgColor indexed="64"/>
      </patternFill>
    </fill>
    <fill>
      <patternFill patternType="solid">
        <fgColor rgb="FFFFFF00"/>
        <bgColor indexed="64"/>
      </patternFill>
    </fill>
    <fill>
      <patternFill patternType="solid">
        <fgColor theme="9" tint="-0.249977111117893"/>
        <bgColor rgb="FF000000"/>
      </patternFill>
    </fill>
    <fill>
      <patternFill patternType="solid">
        <fgColor theme="0" tint="-0.499984740745262"/>
        <bgColor indexed="64"/>
      </patternFill>
    </fill>
    <fill>
      <patternFill patternType="solid">
        <fgColor theme="9" tint="-0.249977111117893"/>
        <bgColor indexed="64"/>
      </patternFill>
    </fill>
  </fills>
  <borders count="4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4" tint="0.3999755851924192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diagonal/>
    </border>
  </borders>
  <cellStyleXfs count="11">
    <xf numFmtId="0" fontId="0" fillId="0" borderId="0"/>
    <xf numFmtId="9" fontId="1" fillId="0" borderId="0" applyFont="0" applyFill="0" applyBorder="0" applyAlignment="0" applyProtection="0"/>
    <xf numFmtId="44" fontId="1" fillId="0" borderId="0" applyFont="0" applyFill="0" applyBorder="0" applyAlignment="0" applyProtection="0"/>
    <xf numFmtId="0" fontId="6" fillId="0" borderId="0"/>
    <xf numFmtId="0" fontId="20" fillId="10" borderId="0" applyNumberFormat="0" applyBorder="0" applyAlignment="0" applyProtection="0"/>
    <xf numFmtId="43" fontId="1" fillId="0" borderId="0" applyFont="0" applyFill="0" applyBorder="0" applyAlignment="0" applyProtection="0"/>
    <xf numFmtId="0" fontId="33" fillId="0" borderId="0"/>
    <xf numFmtId="0" fontId="19" fillId="0" borderId="0"/>
    <xf numFmtId="0" fontId="33" fillId="0" borderId="0"/>
    <xf numFmtId="44" fontId="19" fillId="0" borderId="0" applyFont="0" applyFill="0" applyBorder="0" applyAlignment="0" applyProtection="0"/>
    <xf numFmtId="9" fontId="19" fillId="0" borderId="0" applyFont="0" applyFill="0" applyBorder="0" applyAlignment="0" applyProtection="0"/>
  </cellStyleXfs>
  <cellXfs count="344">
    <xf numFmtId="0" fontId="0" fillId="0" borderId="0" xfId="0"/>
    <xf numFmtId="0" fontId="6" fillId="0" borderId="0" xfId="0" applyFont="1"/>
    <xf numFmtId="0" fontId="7" fillId="0" borderId="0" xfId="0" applyFont="1"/>
    <xf numFmtId="10" fontId="7" fillId="0" borderId="0" xfId="1" applyNumberFormat="1" applyFont="1"/>
    <xf numFmtId="6" fontId="7" fillId="0" borderId="0" xfId="0" applyNumberFormat="1" applyFont="1"/>
    <xf numFmtId="9" fontId="7" fillId="0" borderId="0" xfId="0" applyNumberFormat="1" applyFont="1"/>
    <xf numFmtId="42" fontId="0" fillId="0" borderId="0" xfId="0" applyNumberFormat="1"/>
    <xf numFmtId="0" fontId="8" fillId="0" borderId="0" xfId="0" applyFont="1"/>
    <xf numFmtId="6" fontId="9" fillId="0" borderId="0" xfId="0" applyNumberFormat="1" applyFont="1" applyAlignment="1">
      <alignment vertical="center"/>
    </xf>
    <xf numFmtId="9" fontId="9" fillId="0" borderId="0" xfId="0" applyNumberFormat="1" applyFont="1" applyAlignment="1">
      <alignment vertical="center"/>
    </xf>
    <xf numFmtId="9" fontId="0" fillId="0" borderId="0" xfId="0" applyNumberFormat="1"/>
    <xf numFmtId="0" fontId="7" fillId="0" borderId="1" xfId="0" applyFont="1" applyBorder="1"/>
    <xf numFmtId="6" fontId="7" fillId="0" borderId="1" xfId="0" applyNumberFormat="1" applyFont="1" applyBorder="1"/>
    <xf numFmtId="9" fontId="7" fillId="0" borderId="1" xfId="0" applyNumberFormat="1" applyFont="1" applyBorder="1"/>
    <xf numFmtId="10" fontId="0" fillId="0" borderId="0" xfId="1" applyNumberFormat="1" applyFont="1"/>
    <xf numFmtId="0" fontId="0" fillId="0" borderId="0" xfId="0" applyAlignment="1">
      <alignment vertical="center"/>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horizontal="left" vertical="center" wrapText="1"/>
    </xf>
    <xf numFmtId="164" fontId="11" fillId="0" borderId="6" xfId="0" applyNumberFormat="1" applyFont="1" applyBorder="1" applyAlignment="1">
      <alignment vertical="center" wrapText="1"/>
    </xf>
    <xf numFmtId="164" fontId="12" fillId="3" borderId="1" xfId="0" applyNumberFormat="1" applyFont="1" applyFill="1" applyBorder="1" applyAlignment="1">
      <alignment vertical="center" wrapText="1"/>
    </xf>
    <xf numFmtId="0" fontId="2" fillId="2" borderId="7" xfId="0" applyFont="1" applyFill="1" applyBorder="1" applyAlignment="1">
      <alignment horizontal="right"/>
    </xf>
    <xf numFmtId="0" fontId="2" fillId="2" borderId="7" xfId="0" applyFont="1" applyFill="1" applyBorder="1" applyAlignment="1">
      <alignment horizontal="center"/>
    </xf>
    <xf numFmtId="0" fontId="2" fillId="2" borderId="8" xfId="0" applyFont="1" applyFill="1" applyBorder="1" applyAlignment="1">
      <alignment horizontal="center"/>
    </xf>
    <xf numFmtId="0" fontId="3" fillId="0" borderId="7" xfId="0" applyFont="1" applyBorder="1" applyAlignment="1">
      <alignment horizontal="right"/>
    </xf>
    <xf numFmtId="0" fontId="6" fillId="0" borderId="7" xfId="0" applyFont="1" applyBorder="1" applyAlignment="1">
      <alignment wrapText="1"/>
    </xf>
    <xf numFmtId="10" fontId="0" fillId="0" borderId="7" xfId="0" applyNumberFormat="1" applyBorder="1"/>
    <xf numFmtId="165" fontId="0" fillId="0" borderId="0" xfId="0" applyNumberFormat="1"/>
    <xf numFmtId="0" fontId="6" fillId="0" borderId="0" xfId="0" applyFont="1" applyAlignment="1">
      <alignment wrapText="1"/>
    </xf>
    <xf numFmtId="0" fontId="0" fillId="0" borderId="7" xfId="0" applyBorder="1"/>
    <xf numFmtId="164" fontId="0" fillId="0" borderId="7" xfId="0" applyNumberFormat="1" applyBorder="1"/>
    <xf numFmtId="9" fontId="0" fillId="0" borderId="0" xfId="1" applyFont="1"/>
    <xf numFmtId="0" fontId="11" fillId="0" borderId="7" xfId="0" applyFont="1" applyBorder="1" applyAlignment="1">
      <alignment horizontal="left" vertical="center" wrapText="1"/>
    </xf>
    <xf numFmtId="1" fontId="3" fillId="5" borderId="0" xfId="0" applyNumberFormat="1" applyFont="1" applyFill="1" applyAlignment="1">
      <alignment horizontal="left" vertical="center" wrapText="1"/>
    </xf>
    <xf numFmtId="1" fontId="15" fillId="5" borderId="0" xfId="0" applyNumberFormat="1" applyFont="1" applyFill="1" applyAlignment="1">
      <alignment horizontal="left" vertical="center" wrapText="1"/>
    </xf>
    <xf numFmtId="1" fontId="2" fillId="6" borderId="0" xfId="0" applyNumberFormat="1" applyFont="1" applyFill="1" applyAlignment="1">
      <alignment horizontal="left" vertical="center" wrapText="1"/>
    </xf>
    <xf numFmtId="0" fontId="0" fillId="0" borderId="0" xfId="0" applyAlignment="1">
      <alignment horizontal="left" vertical="center" wrapText="1"/>
    </xf>
    <xf numFmtId="0" fontId="3" fillId="0" borderId="0" xfId="0" applyFont="1"/>
    <xf numFmtId="0" fontId="6" fillId="0" borderId="0" xfId="3"/>
    <xf numFmtId="0" fontId="6" fillId="0" borderId="15" xfId="0" applyFont="1" applyBorder="1" applyAlignment="1">
      <alignment horizontal="right"/>
    </xf>
    <xf numFmtId="0" fontId="6" fillId="0" borderId="19" xfId="3" applyBorder="1"/>
    <xf numFmtId="0" fontId="6" fillId="0" borderId="19" xfId="3" applyBorder="1" applyAlignment="1">
      <alignment horizontal="right"/>
    </xf>
    <xf numFmtId="0" fontId="6" fillId="0" borderId="12" xfId="3" applyBorder="1" applyAlignment="1">
      <alignment horizontal="right"/>
    </xf>
    <xf numFmtId="0" fontId="6" fillId="0" borderId="13" xfId="3" applyBorder="1"/>
    <xf numFmtId="0" fontId="6" fillId="0" borderId="15" xfId="3" applyBorder="1" applyAlignment="1">
      <alignment horizontal="left"/>
    </xf>
    <xf numFmtId="42" fontId="6" fillId="0" borderId="15" xfId="3" applyNumberFormat="1" applyBorder="1"/>
    <xf numFmtId="9" fontId="6" fillId="0" borderId="15" xfId="3" applyNumberFormat="1" applyBorder="1"/>
    <xf numFmtId="42" fontId="6" fillId="0" borderId="15" xfId="3" applyNumberFormat="1" applyBorder="1" applyAlignment="1">
      <alignment horizontal="right"/>
    </xf>
    <xf numFmtId="0" fontId="6" fillId="0" borderId="12" xfId="0" applyFont="1" applyBorder="1" applyAlignment="1">
      <alignment horizontal="right"/>
    </xf>
    <xf numFmtId="0" fontId="6" fillId="0" borderId="10" xfId="3" applyBorder="1"/>
    <xf numFmtId="0" fontId="6" fillId="0" borderId="10" xfId="3" applyBorder="1" applyAlignment="1">
      <alignment horizontal="right"/>
    </xf>
    <xf numFmtId="0" fontId="6" fillId="0" borderId="12" xfId="3" applyBorder="1" applyAlignment="1">
      <alignment horizontal="left"/>
    </xf>
    <xf numFmtId="42" fontId="6" fillId="0" borderId="12" xfId="3" applyNumberFormat="1" applyBorder="1"/>
    <xf numFmtId="9" fontId="6" fillId="0" borderId="12" xfId="3" applyNumberFormat="1" applyBorder="1"/>
    <xf numFmtId="42" fontId="6" fillId="0" borderId="12" xfId="3" applyNumberFormat="1" applyBorder="1" applyAlignment="1">
      <alignment horizontal="right"/>
    </xf>
    <xf numFmtId="0" fontId="6" fillId="0" borderId="12" xfId="0" applyFont="1" applyBorder="1"/>
    <xf numFmtId="0" fontId="6" fillId="0" borderId="1" xfId="0" applyFont="1" applyBorder="1"/>
    <xf numFmtId="0" fontId="6" fillId="0" borderId="17" xfId="3" applyBorder="1" applyAlignment="1">
      <alignment horizontal="right"/>
    </xf>
    <xf numFmtId="42" fontId="6" fillId="0" borderId="17" xfId="3" applyNumberFormat="1" applyBorder="1"/>
    <xf numFmtId="0" fontId="0" fillId="0" borderId="12" xfId="0" applyBorder="1"/>
    <xf numFmtId="0" fontId="0" fillId="0" borderId="10" xfId="0" applyBorder="1"/>
    <xf numFmtId="0" fontId="6" fillId="0" borderId="10" xfId="0" applyFont="1" applyBorder="1"/>
    <xf numFmtId="0" fontId="23" fillId="0" borderId="12" xfId="0" applyFont="1" applyBorder="1" applyAlignment="1">
      <alignment horizontal="left"/>
    </xf>
    <xf numFmtId="42" fontId="23" fillId="0" borderId="12" xfId="0" applyNumberFormat="1" applyFont="1" applyBorder="1"/>
    <xf numFmtId="9" fontId="23" fillId="0" borderId="12" xfId="0" applyNumberFormat="1" applyFont="1" applyBorder="1"/>
    <xf numFmtId="42" fontId="6" fillId="0" borderId="0" xfId="3" applyNumberFormat="1"/>
    <xf numFmtId="42" fontId="24" fillId="0" borderId="12" xfId="0" applyNumberFormat="1" applyFont="1" applyBorder="1" applyAlignment="1">
      <alignment vertical="center"/>
    </xf>
    <xf numFmtId="9" fontId="24" fillId="0" borderId="12" xfId="0" applyNumberFormat="1" applyFont="1" applyBorder="1" applyAlignment="1">
      <alignment vertical="center"/>
    </xf>
    <xf numFmtId="0" fontId="0" fillId="0" borderId="17" xfId="0" applyBorder="1"/>
    <xf numFmtId="0" fontId="0" fillId="0" borderId="18" xfId="0" applyBorder="1"/>
    <xf numFmtId="0" fontId="6" fillId="0" borderId="18" xfId="0" applyFont="1" applyBorder="1"/>
    <xf numFmtId="0" fontId="23" fillId="0" borderId="17" xfId="0" applyFont="1" applyBorder="1" applyAlignment="1">
      <alignment horizontal="left"/>
    </xf>
    <xf numFmtId="42" fontId="23" fillId="0" borderId="17" xfId="0" applyNumberFormat="1" applyFont="1" applyBorder="1"/>
    <xf numFmtId="9" fontId="23" fillId="0" borderId="17" xfId="0" applyNumberFormat="1" applyFont="1" applyBorder="1"/>
    <xf numFmtId="9" fontId="6" fillId="0" borderId="12" xfId="3" applyNumberFormat="1" applyBorder="1" applyAlignment="1">
      <alignment horizontal="right"/>
    </xf>
    <xf numFmtId="42" fontId="6" fillId="0" borderId="12" xfId="0" applyNumberFormat="1" applyFont="1" applyBorder="1"/>
    <xf numFmtId="0" fontId="6" fillId="0" borderId="11" xfId="3" applyBorder="1"/>
    <xf numFmtId="42" fontId="6" fillId="0" borderId="11" xfId="3" applyNumberFormat="1" applyBorder="1" applyAlignment="1">
      <alignment horizontal="right"/>
    </xf>
    <xf numFmtId="9" fontId="6" fillId="0" borderId="11" xfId="3" applyNumberFormat="1" applyBorder="1" applyAlignment="1">
      <alignment horizontal="right"/>
    </xf>
    <xf numFmtId="0" fontId="6" fillId="0" borderId="11" xfId="0" applyFont="1" applyBorder="1"/>
    <xf numFmtId="0" fontId="6" fillId="0" borderId="11" xfId="3" applyBorder="1" applyAlignment="1">
      <alignment horizontal="left"/>
    </xf>
    <xf numFmtId="167" fontId="6" fillId="0" borderId="13" xfId="3" applyNumberFormat="1" applyBorder="1"/>
    <xf numFmtId="0" fontId="6" fillId="0" borderId="15" xfId="3" applyBorder="1" applyAlignment="1">
      <alignment horizontal="right"/>
    </xf>
    <xf numFmtId="167" fontId="6" fillId="0" borderId="0" xfId="3" applyNumberFormat="1"/>
    <xf numFmtId="0" fontId="6" fillId="0" borderId="23" xfId="3" applyBorder="1"/>
    <xf numFmtId="0" fontId="6" fillId="0" borderId="21" xfId="0" applyFont="1" applyBorder="1"/>
    <xf numFmtId="0" fontId="6" fillId="0" borderId="21" xfId="0" applyFont="1" applyBorder="1" applyAlignment="1">
      <alignment horizontal="right"/>
    </xf>
    <xf numFmtId="167" fontId="6" fillId="0" borderId="23" xfId="3" applyNumberFormat="1" applyBorder="1"/>
    <xf numFmtId="0" fontId="6" fillId="0" borderId="22" xfId="3" applyBorder="1"/>
    <xf numFmtId="0" fontId="6" fillId="0" borderId="22" xfId="3" applyBorder="1" applyAlignment="1">
      <alignment horizontal="right"/>
    </xf>
    <xf numFmtId="0" fontId="6" fillId="0" borderId="21" xfId="3" applyBorder="1" applyAlignment="1">
      <alignment horizontal="right"/>
    </xf>
    <xf numFmtId="0" fontId="6" fillId="0" borderId="21" xfId="3" applyBorder="1" applyAlignment="1">
      <alignment horizontal="left"/>
    </xf>
    <xf numFmtId="42" fontId="6" fillId="0" borderId="21" xfId="3" applyNumberFormat="1" applyBorder="1"/>
    <xf numFmtId="9" fontId="6" fillId="0" borderId="21" xfId="3" applyNumberFormat="1" applyBorder="1"/>
    <xf numFmtId="42" fontId="6" fillId="0" borderId="21" xfId="3" applyNumberFormat="1" applyBorder="1" applyAlignment="1">
      <alignment horizontal="right"/>
    </xf>
    <xf numFmtId="168" fontId="6" fillId="0" borderId="0" xfId="0" applyNumberFormat="1" applyFont="1"/>
    <xf numFmtId="168" fontId="6" fillId="0" borderId="1" xfId="0" applyNumberFormat="1" applyFont="1" applyBorder="1"/>
    <xf numFmtId="167" fontId="6" fillId="0" borderId="11" xfId="3" applyNumberFormat="1" applyBorder="1"/>
    <xf numFmtId="0" fontId="6" fillId="0" borderId="20" xfId="3" applyBorder="1"/>
    <xf numFmtId="0" fontId="6" fillId="0" borderId="20" xfId="0" applyFont="1" applyBorder="1"/>
    <xf numFmtId="167" fontId="6" fillId="0" borderId="20" xfId="3" applyNumberFormat="1" applyBorder="1"/>
    <xf numFmtId="0" fontId="6" fillId="0" borderId="20" xfId="3" applyBorder="1" applyAlignment="1">
      <alignment horizontal="left"/>
    </xf>
    <xf numFmtId="9" fontId="6" fillId="0" borderId="21" xfId="3" applyNumberFormat="1" applyBorder="1" applyAlignment="1">
      <alignment horizontal="right"/>
    </xf>
    <xf numFmtId="164" fontId="6" fillId="0" borderId="0" xfId="1" applyNumberFormat="1" applyFont="1"/>
    <xf numFmtId="0" fontId="0" fillId="0" borderId="0" xfId="0" applyAlignment="1">
      <alignment horizontal="left"/>
    </xf>
    <xf numFmtId="169" fontId="0" fillId="0" borderId="0" xfId="2" applyNumberFormat="1" applyFont="1"/>
    <xf numFmtId="169" fontId="0" fillId="0" borderId="0" xfId="0" applyNumberFormat="1"/>
    <xf numFmtId="0" fontId="3" fillId="0" borderId="0" xfId="0" applyFont="1" applyAlignment="1">
      <alignment horizontal="left"/>
    </xf>
    <xf numFmtId="169" fontId="3" fillId="0" borderId="0" xfId="0" applyNumberFormat="1" applyFont="1"/>
    <xf numFmtId="9" fontId="3" fillId="0" borderId="0" xfId="1" applyFont="1"/>
    <xf numFmtId="164" fontId="0" fillId="0" borderId="0" xfId="1" applyNumberFormat="1" applyFont="1"/>
    <xf numFmtId="10" fontId="3" fillId="0" borderId="0" xfId="1" applyNumberFormat="1" applyFont="1"/>
    <xf numFmtId="0" fontId="23" fillId="0" borderId="11" xfId="0" applyFont="1" applyBorder="1"/>
    <xf numFmtId="0" fontId="23" fillId="0" borderId="12" xfId="0" applyFont="1" applyBorder="1" applyAlignment="1">
      <alignment horizontal="right"/>
    </xf>
    <xf numFmtId="0" fontId="23" fillId="0" borderId="12" xfId="0" applyFont="1" applyBorder="1"/>
    <xf numFmtId="0" fontId="23" fillId="0" borderId="13" xfId="0" applyFont="1" applyBorder="1"/>
    <xf numFmtId="0" fontId="23" fillId="0" borderId="15" xfId="0" applyFont="1" applyBorder="1"/>
    <xf numFmtId="0" fontId="23" fillId="0" borderId="14" xfId="0" applyFont="1" applyBorder="1"/>
    <xf numFmtId="42" fontId="23" fillId="0" borderId="15" xfId="0" applyNumberFormat="1" applyFont="1" applyBorder="1"/>
    <xf numFmtId="9" fontId="23" fillId="0" borderId="15" xfId="0" applyNumberFormat="1" applyFont="1" applyBorder="1"/>
    <xf numFmtId="0" fontId="23" fillId="0" borderId="0" xfId="0" applyFont="1"/>
    <xf numFmtId="42" fontId="27" fillId="0" borderId="12" xfId="0" applyNumberFormat="1" applyFont="1" applyBorder="1"/>
    <xf numFmtId="0" fontId="28" fillId="0" borderId="12" xfId="0" applyFont="1" applyBorder="1" applyAlignment="1">
      <alignment horizontal="right"/>
    </xf>
    <xf numFmtId="0" fontId="23" fillId="0" borderId="16" xfId="0" applyFont="1" applyBorder="1"/>
    <xf numFmtId="0" fontId="23" fillId="0" borderId="17" xfId="0" applyFont="1" applyBorder="1" applyAlignment="1">
      <alignment horizontal="right"/>
    </xf>
    <xf numFmtId="0" fontId="23" fillId="0" borderId="17" xfId="0" applyFont="1" applyBorder="1"/>
    <xf numFmtId="0" fontId="23" fillId="0" borderId="18" xfId="0" applyFont="1" applyBorder="1"/>
    <xf numFmtId="0" fontId="23" fillId="0" borderId="11" xfId="0" applyFont="1" applyBorder="1" applyAlignment="1">
      <alignment horizontal="right"/>
    </xf>
    <xf numFmtId="0" fontId="23" fillId="0" borderId="10" xfId="0" applyFont="1" applyBorder="1"/>
    <xf numFmtId="0" fontId="23" fillId="0" borderId="0" xfId="0" applyFont="1" applyAlignment="1">
      <alignment horizontal="right"/>
    </xf>
    <xf numFmtId="167" fontId="23" fillId="0" borderId="11" xfId="0" applyNumberFormat="1" applyFont="1" applyBorder="1"/>
    <xf numFmtId="0" fontId="6" fillId="0" borderId="12" xfId="3" applyBorder="1"/>
    <xf numFmtId="0" fontId="6" fillId="0" borderId="11" xfId="3" applyBorder="1" applyAlignment="1">
      <alignment horizontal="right"/>
    </xf>
    <xf numFmtId="0" fontId="6" fillId="0" borderId="20" xfId="3" applyBorder="1" applyAlignment="1">
      <alignment horizontal="right"/>
    </xf>
    <xf numFmtId="0" fontId="6" fillId="0" borderId="21" xfId="3" applyBorder="1"/>
    <xf numFmtId="0" fontId="23" fillId="0" borderId="21" xfId="0" applyFont="1" applyBorder="1"/>
    <xf numFmtId="0" fontId="29" fillId="11" borderId="0" xfId="0" applyFont="1" applyFill="1" applyAlignment="1">
      <alignment horizontal="left" vertical="center"/>
    </xf>
    <xf numFmtId="0" fontId="30" fillId="0" borderId="0" xfId="0" applyFont="1"/>
    <xf numFmtId="0" fontId="0" fillId="9" borderId="0" xfId="0" applyFill="1"/>
    <xf numFmtId="10" fontId="16" fillId="0" borderId="7" xfId="1" applyNumberFormat="1" applyFont="1" applyFill="1" applyBorder="1"/>
    <xf numFmtId="9" fontId="16" fillId="0" borderId="7" xfId="1" applyFont="1" applyFill="1" applyBorder="1"/>
    <xf numFmtId="0" fontId="0" fillId="0" borderId="0" xfId="0" applyAlignment="1">
      <alignment wrapText="1"/>
    </xf>
    <xf numFmtId="0" fontId="3" fillId="0" borderId="25" xfId="0" applyFont="1" applyBorder="1" applyAlignment="1">
      <alignment horizontal="center" vertical="center" wrapText="1"/>
    </xf>
    <xf numFmtId="0" fontId="0" fillId="0" borderId="28" xfId="0" applyBorder="1" applyAlignment="1">
      <alignment wrapText="1"/>
    </xf>
    <xf numFmtId="170" fontId="17" fillId="12" borderId="7" xfId="4" applyNumberFormat="1" applyFont="1" applyFill="1" applyBorder="1" applyAlignment="1" applyProtection="1">
      <alignment horizontal="left" vertical="center" wrapText="1"/>
      <protection locked="0"/>
    </xf>
    <xf numFmtId="170" fontId="17" fillId="12" borderId="7" xfId="4" applyNumberFormat="1" applyFont="1" applyFill="1" applyBorder="1" applyAlignment="1" applyProtection="1">
      <alignment horizontal="center" vertical="center" wrapText="1"/>
      <protection locked="0"/>
    </xf>
    <xf numFmtId="170" fontId="17" fillId="12" borderId="8" xfId="4" applyNumberFormat="1" applyFont="1" applyFill="1" applyBorder="1" applyAlignment="1" applyProtection="1">
      <alignment horizontal="left" vertical="center" wrapText="1"/>
      <protection locked="0"/>
    </xf>
    <xf numFmtId="164" fontId="17" fillId="12" borderId="29" xfId="1" applyNumberFormat="1" applyFont="1" applyFill="1" applyBorder="1" applyAlignment="1" applyProtection="1">
      <alignment horizontal="left" vertical="center" wrapText="1"/>
      <protection locked="0"/>
    </xf>
    <xf numFmtId="164" fontId="17" fillId="12" borderId="21" xfId="1" applyNumberFormat="1" applyFont="1" applyFill="1" applyBorder="1" applyAlignment="1" applyProtection="1">
      <alignment horizontal="left" vertical="center" wrapText="1"/>
      <protection locked="0"/>
    </xf>
    <xf numFmtId="9" fontId="17" fillId="12" borderId="21" xfId="1" applyFont="1" applyFill="1" applyBorder="1" applyAlignment="1" applyProtection="1">
      <alignment horizontal="left" vertical="center" wrapText="1"/>
      <protection locked="0"/>
    </xf>
    <xf numFmtId="170" fontId="31" fillId="12" borderId="22" xfId="4" applyNumberFormat="1" applyFont="1" applyFill="1" applyBorder="1" applyAlignment="1" applyProtection="1">
      <alignment horizontal="left" vertical="center" wrapText="1"/>
      <protection locked="0"/>
    </xf>
    <xf numFmtId="0" fontId="3" fillId="13" borderId="25" xfId="0" applyFont="1" applyFill="1" applyBorder="1" applyAlignment="1">
      <alignment horizontal="center" vertical="center" wrapText="1"/>
    </xf>
    <xf numFmtId="171" fontId="17" fillId="12" borderId="30" xfId="5" applyNumberFormat="1" applyFont="1" applyFill="1" applyBorder="1" applyAlignment="1" applyProtection="1">
      <alignment horizontal="right" vertical="center" wrapText="1"/>
      <protection locked="0"/>
    </xf>
    <xf numFmtId="171" fontId="17" fillId="12" borderId="7" xfId="5" applyNumberFormat="1" applyFont="1" applyFill="1" applyBorder="1" applyAlignment="1" applyProtection="1">
      <alignment horizontal="right" vertical="center" wrapText="1"/>
      <protection locked="0"/>
    </xf>
    <xf numFmtId="171" fontId="17" fillId="12" borderId="7" xfId="5" applyNumberFormat="1" applyFont="1" applyFill="1" applyBorder="1" applyAlignment="1" applyProtection="1">
      <alignment horizontal="left" vertical="center" wrapText="1"/>
      <protection locked="0"/>
    </xf>
    <xf numFmtId="43" fontId="17" fillId="12" borderId="31" xfId="5" applyFont="1" applyFill="1" applyBorder="1" applyAlignment="1" applyProtection="1">
      <alignment horizontal="left" vertical="center" wrapText="1"/>
      <protection locked="0"/>
    </xf>
    <xf numFmtId="170" fontId="17" fillId="12" borderId="32" xfId="4" applyNumberFormat="1" applyFont="1" applyFill="1" applyBorder="1" applyAlignment="1" applyProtection="1">
      <alignment horizontal="left" vertical="center" wrapText="1"/>
      <protection locked="0"/>
    </xf>
    <xf numFmtId="0" fontId="1" fillId="0" borderId="0" xfId="0" applyFont="1"/>
    <xf numFmtId="0" fontId="34" fillId="0" borderId="0" xfId="0" applyFont="1" applyAlignment="1">
      <alignment vertical="center"/>
    </xf>
    <xf numFmtId="9" fontId="7" fillId="0" borderId="0" xfId="1" applyFont="1"/>
    <xf numFmtId="0" fontId="3" fillId="0" borderId="0" xfId="0" applyFont="1" applyAlignment="1">
      <alignment horizontal="left" vertical="center" wrapText="1"/>
    </xf>
    <xf numFmtId="3" fontId="0" fillId="0" borderId="0" xfId="0" applyNumberFormat="1" applyAlignment="1">
      <alignment vertical="center"/>
    </xf>
    <xf numFmtId="0" fontId="13" fillId="4" borderId="0" xfId="0" applyFont="1" applyFill="1" applyAlignment="1">
      <alignment vertical="center"/>
    </xf>
    <xf numFmtId="0" fontId="14" fillId="4"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vertical="center"/>
    </xf>
    <xf numFmtId="0" fontId="18" fillId="7" borderId="0" xfId="0" applyFont="1" applyFill="1" applyAlignment="1">
      <alignment vertical="center"/>
    </xf>
    <xf numFmtId="1" fontId="3" fillId="5" borderId="9" xfId="0" applyNumberFormat="1" applyFont="1" applyFill="1" applyBorder="1" applyAlignment="1">
      <alignment vertical="center"/>
    </xf>
    <xf numFmtId="10" fontId="19" fillId="0" borderId="0" xfId="0" applyNumberFormat="1" applyFont="1" applyAlignment="1">
      <alignment vertical="center"/>
    </xf>
    <xf numFmtId="10" fontId="19" fillId="0" borderId="7" xfId="0" applyNumberFormat="1" applyFont="1" applyBorder="1" applyAlignment="1">
      <alignment vertical="center"/>
    </xf>
    <xf numFmtId="166" fontId="19" fillId="0" borderId="0" xfId="0" applyNumberFormat="1" applyFont="1" applyAlignment="1">
      <alignment vertical="center"/>
    </xf>
    <xf numFmtId="9" fontId="0" fillId="0" borderId="0" xfId="0" applyNumberFormat="1" applyAlignment="1">
      <alignment vertical="center"/>
    </xf>
    <xf numFmtId="44" fontId="0" fillId="0" borderId="0" xfId="2" applyFont="1" applyAlignment="1">
      <alignment vertical="center"/>
    </xf>
    <xf numFmtId="9" fontId="0" fillId="0" borderId="0" xfId="1" applyFont="1" applyAlignment="1">
      <alignment vertical="center"/>
    </xf>
    <xf numFmtId="10" fontId="16" fillId="0" borderId="7" xfId="1" applyNumberFormat="1" applyFont="1" applyFill="1" applyBorder="1" applyAlignment="1">
      <alignment vertical="center"/>
    </xf>
    <xf numFmtId="9" fontId="16" fillId="0" borderId="7" xfId="1" applyFont="1" applyFill="1" applyBorder="1" applyAlignment="1">
      <alignment vertical="center"/>
    </xf>
    <xf numFmtId="0" fontId="3" fillId="0" borderId="0" xfId="0" applyFont="1" applyAlignment="1">
      <alignment vertical="center"/>
    </xf>
    <xf numFmtId="3" fontId="3" fillId="0" borderId="0" xfId="0" applyNumberFormat="1" applyFont="1" applyAlignment="1">
      <alignment vertical="center"/>
    </xf>
    <xf numFmtId="170" fontId="0" fillId="0" borderId="0" xfId="0" applyNumberFormat="1" applyAlignment="1">
      <alignment vertical="center"/>
    </xf>
    <xf numFmtId="44" fontId="0" fillId="0" borderId="0" xfId="0" applyNumberFormat="1" applyAlignment="1">
      <alignment vertical="center"/>
    </xf>
    <xf numFmtId="0" fontId="40" fillId="8" borderId="16" xfId="0" applyFont="1" applyFill="1" applyBorder="1" applyAlignment="1">
      <alignment vertical="top" wrapText="1"/>
    </xf>
    <xf numFmtId="0" fontId="40" fillId="8" borderId="17" xfId="0" applyFont="1" applyFill="1" applyBorder="1" applyAlignment="1">
      <alignment vertical="top"/>
    </xf>
    <xf numFmtId="0" fontId="40" fillId="8" borderId="17" xfId="0" applyFont="1" applyFill="1" applyBorder="1" applyAlignment="1">
      <alignment vertical="top" wrapText="1"/>
    </xf>
    <xf numFmtId="0" fontId="40" fillId="8" borderId="1" xfId="0" applyFont="1" applyFill="1" applyBorder="1" applyAlignment="1">
      <alignment vertical="top" wrapText="1"/>
    </xf>
    <xf numFmtId="0" fontId="40" fillId="15" borderId="1" xfId="0" applyFont="1" applyFill="1" applyBorder="1" applyAlignment="1">
      <alignment vertical="top" wrapText="1"/>
    </xf>
    <xf numFmtId="0" fontId="40" fillId="15" borderId="1" xfId="0" applyFont="1" applyFill="1" applyBorder="1" applyAlignment="1">
      <alignment vertical="top"/>
    </xf>
    <xf numFmtId="0" fontId="22" fillId="15" borderId="1" xfId="0" applyFont="1" applyFill="1" applyBorder="1" applyAlignment="1">
      <alignment vertical="top" wrapText="1"/>
    </xf>
    <xf numFmtId="0" fontId="26" fillId="16" borderId="0" xfId="3" applyFont="1" applyFill="1" applyAlignment="1">
      <alignment horizontal="center" vertical="center" wrapText="1"/>
    </xf>
    <xf numFmtId="0" fontId="41" fillId="17" borderId="0" xfId="0" applyFont="1" applyFill="1" applyAlignment="1">
      <alignment vertical="top" wrapText="1"/>
    </xf>
    <xf numFmtId="0" fontId="41" fillId="17" borderId="0" xfId="0" applyFont="1" applyFill="1" applyAlignment="1">
      <alignment vertical="top"/>
    </xf>
    <xf numFmtId="10" fontId="41" fillId="17" borderId="0" xfId="1" applyNumberFormat="1" applyFont="1" applyFill="1" applyAlignment="1">
      <alignment vertical="top" wrapText="1"/>
    </xf>
    <xf numFmtId="0" fontId="5" fillId="15" borderId="0" xfId="0" applyFont="1" applyFill="1" applyAlignment="1">
      <alignment vertical="top" wrapText="1"/>
    </xf>
    <xf numFmtId="0" fontId="5" fillId="17" borderId="0" xfId="0" applyFont="1" applyFill="1" applyAlignment="1">
      <alignment vertical="top" wrapText="1"/>
    </xf>
    <xf numFmtId="9" fontId="0" fillId="14" borderId="0" xfId="1" applyFont="1" applyFill="1"/>
    <xf numFmtId="10" fontId="0" fillId="0" borderId="7" xfId="0" applyNumberFormat="1" applyBorder="1" applyAlignment="1">
      <alignment horizontal="center"/>
    </xf>
    <xf numFmtId="10" fontId="0" fillId="0" borderId="8" xfId="0" applyNumberFormat="1" applyBorder="1" applyAlignment="1">
      <alignment horizontal="center"/>
    </xf>
    <xf numFmtId="9" fontId="0" fillId="0" borderId="7" xfId="0" applyNumberFormat="1" applyBorder="1" applyAlignment="1">
      <alignment horizontal="center"/>
    </xf>
    <xf numFmtId="9" fontId="0" fillId="0" borderId="8" xfId="0" applyNumberFormat="1" applyBorder="1" applyAlignment="1">
      <alignment horizontal="center"/>
    </xf>
    <xf numFmtId="0" fontId="16" fillId="0" borderId="7" xfId="0" applyFont="1" applyBorder="1"/>
    <xf numFmtId="3" fontId="16" fillId="0" borderId="7" xfId="0" applyNumberFormat="1" applyFont="1" applyBorder="1"/>
    <xf numFmtId="3" fontId="17" fillId="0" borderId="7" xfId="0" applyNumberFormat="1" applyFont="1" applyBorder="1"/>
    <xf numFmtId="0" fontId="17" fillId="0" borderId="7" xfId="0" applyFont="1" applyBorder="1"/>
    <xf numFmtId="10" fontId="17" fillId="0" borderId="7" xfId="1" applyNumberFormat="1" applyFont="1" applyFill="1" applyBorder="1"/>
    <xf numFmtId="9" fontId="17" fillId="0" borderId="7" xfId="1" applyFont="1" applyFill="1" applyBorder="1"/>
    <xf numFmtId="0" fontId="16" fillId="0" borderId="7" xfId="0" applyFont="1" applyBorder="1" applyAlignment="1">
      <alignment vertical="center" wrapText="1"/>
    </xf>
    <xf numFmtId="0" fontId="17" fillId="0" borderId="7" xfId="0" applyFont="1" applyBorder="1" applyAlignment="1">
      <alignment vertical="center" wrapText="1"/>
    </xf>
    <xf numFmtId="0" fontId="3" fillId="14" borderId="0" xfId="0" applyFont="1" applyFill="1" applyAlignment="1">
      <alignment vertical="center"/>
    </xf>
    <xf numFmtId="0" fontId="16" fillId="7" borderId="7" xfId="0" applyFont="1" applyFill="1" applyBorder="1" applyAlignment="1">
      <alignment vertical="center"/>
    </xf>
    <xf numFmtId="0" fontId="16" fillId="7" borderId="7" xfId="0" applyFont="1" applyFill="1" applyBorder="1" applyAlignment="1">
      <alignment vertical="center" wrapText="1"/>
    </xf>
    <xf numFmtId="3" fontId="16" fillId="7" borderId="7" xfId="0" applyNumberFormat="1" applyFont="1" applyFill="1" applyBorder="1" applyAlignment="1">
      <alignment vertical="center"/>
    </xf>
    <xf numFmtId="10" fontId="16" fillId="7" borderId="7" xfId="1" applyNumberFormat="1" applyFont="1" applyFill="1" applyBorder="1" applyAlignment="1">
      <alignment vertical="center"/>
    </xf>
    <xf numFmtId="9" fontId="16" fillId="7" borderId="7" xfId="1" applyFont="1" applyFill="1" applyBorder="1" applyAlignment="1">
      <alignment vertical="center"/>
    </xf>
    <xf numFmtId="3" fontId="17" fillId="7" borderId="7" xfId="0" applyNumberFormat="1" applyFont="1" applyFill="1" applyBorder="1" applyAlignment="1">
      <alignment vertical="center"/>
    </xf>
    <xf numFmtId="0" fontId="0" fillId="7" borderId="7" xfId="0" applyFill="1" applyBorder="1" applyAlignment="1">
      <alignment vertical="center"/>
    </xf>
    <xf numFmtId="3" fontId="0" fillId="7" borderId="7" xfId="0" applyNumberFormat="1" applyFill="1" applyBorder="1" applyAlignment="1">
      <alignment vertical="center"/>
    </xf>
    <xf numFmtId="9" fontId="0" fillId="7" borderId="7" xfId="1" applyFont="1" applyFill="1" applyBorder="1" applyAlignment="1">
      <alignment vertical="center"/>
    </xf>
    <xf numFmtId="3" fontId="3" fillId="7" borderId="7" xfId="0" applyNumberFormat="1" applyFont="1" applyFill="1" applyBorder="1" applyAlignment="1">
      <alignment vertical="center"/>
    </xf>
    <xf numFmtId="0" fontId="0" fillId="7" borderId="7" xfId="0" applyFill="1" applyBorder="1" applyAlignment="1">
      <alignment vertical="center" wrapText="1"/>
    </xf>
    <xf numFmtId="0" fontId="16" fillId="0" borderId="7" xfId="0" applyFont="1" applyBorder="1" applyAlignment="1">
      <alignment vertical="center"/>
    </xf>
    <xf numFmtId="3" fontId="16" fillId="0" borderId="7" xfId="0" applyNumberFormat="1" applyFont="1" applyBorder="1" applyAlignment="1">
      <alignment vertical="center"/>
    </xf>
    <xf numFmtId="0" fontId="17" fillId="0" borderId="7" xfId="0" applyFont="1" applyBorder="1" applyAlignment="1">
      <alignment vertical="center"/>
    </xf>
    <xf numFmtId="3" fontId="17" fillId="0" borderId="7" xfId="0" applyNumberFormat="1" applyFont="1" applyBorder="1" applyAlignment="1">
      <alignment vertical="center"/>
    </xf>
    <xf numFmtId="164" fontId="17" fillId="0" borderId="7" xfId="1" applyNumberFormat="1" applyFont="1" applyFill="1" applyBorder="1" applyAlignment="1">
      <alignment vertical="center"/>
    </xf>
    <xf numFmtId="9" fontId="17" fillId="0" borderId="7" xfId="1" applyFont="1" applyFill="1" applyBorder="1" applyAlignment="1">
      <alignment vertical="center"/>
    </xf>
    <xf numFmtId="10" fontId="17" fillId="0" borderId="7" xfId="1" applyNumberFormat="1" applyFont="1" applyFill="1" applyBorder="1" applyAlignment="1">
      <alignment vertical="center"/>
    </xf>
    <xf numFmtId="0" fontId="0" fillId="0" borderId="0" xfId="0" applyAlignment="1">
      <alignment vertical="center" wrapText="1"/>
    </xf>
    <xf numFmtId="10" fontId="0" fillId="0" borderId="0" xfId="0" applyNumberFormat="1" applyAlignment="1">
      <alignment vertical="center"/>
    </xf>
    <xf numFmtId="0" fontId="0" fillId="0" borderId="0" xfId="0" applyAlignment="1">
      <alignment horizontal="left" vertical="center"/>
    </xf>
    <xf numFmtId="0" fontId="3" fillId="0" borderId="0" xfId="0" applyFont="1" applyAlignment="1">
      <alignment horizontal="left" vertical="center"/>
    </xf>
    <xf numFmtId="10" fontId="0" fillId="0" borderId="0" xfId="1" applyNumberFormat="1" applyFont="1" applyFill="1" applyAlignment="1">
      <alignment vertical="center"/>
    </xf>
    <xf numFmtId="0" fontId="0" fillId="0" borderId="7" xfId="0" applyBorder="1" applyAlignment="1">
      <alignment vertical="center"/>
    </xf>
    <xf numFmtId="169" fontId="0" fillId="0" borderId="7" xfId="0" applyNumberFormat="1" applyBorder="1" applyAlignment="1">
      <alignment vertical="center"/>
    </xf>
    <xf numFmtId="164" fontId="0" fillId="0" borderId="7" xfId="1" applyNumberFormat="1" applyFont="1" applyFill="1" applyBorder="1" applyAlignment="1">
      <alignment vertical="center"/>
    </xf>
    <xf numFmtId="0" fontId="0" fillId="0" borderId="7" xfId="0" applyBorder="1" applyAlignment="1">
      <alignment vertical="center" wrapText="1"/>
    </xf>
    <xf numFmtId="170" fontId="0" fillId="0" borderId="7" xfId="0" applyNumberFormat="1" applyBorder="1" applyAlignment="1">
      <alignment vertical="center"/>
    </xf>
    <xf numFmtId="10" fontId="0" fillId="0" borderId="7" xfId="1" applyNumberFormat="1" applyFont="1" applyFill="1" applyBorder="1" applyAlignment="1">
      <alignment vertical="center"/>
    </xf>
    <xf numFmtId="3" fontId="0" fillId="0" borderId="7" xfId="0" applyNumberFormat="1" applyBorder="1" applyAlignment="1">
      <alignment vertical="center"/>
    </xf>
    <xf numFmtId="9" fontId="0" fillId="0" borderId="7" xfId="1" applyFont="1" applyFill="1" applyBorder="1" applyAlignment="1">
      <alignment vertical="center"/>
    </xf>
    <xf numFmtId="3" fontId="3" fillId="0" borderId="7" xfId="0" applyNumberFormat="1" applyFont="1" applyBorder="1" applyAlignment="1">
      <alignment vertical="center"/>
    </xf>
    <xf numFmtId="0" fontId="0" fillId="0" borderId="7" xfId="0" applyBorder="1" applyAlignment="1">
      <alignment horizontal="left" vertical="center" wrapText="1"/>
    </xf>
    <xf numFmtId="0" fontId="16" fillId="0" borderId="7" xfId="0" applyFont="1" applyBorder="1" applyAlignment="1">
      <alignment horizontal="left" vertical="center" wrapText="1"/>
    </xf>
    <xf numFmtId="0" fontId="0" fillId="0" borderId="7" xfId="0" applyBorder="1" applyAlignment="1">
      <alignment horizontal="left" vertical="top"/>
    </xf>
    <xf numFmtId="0" fontId="0" fillId="0" borderId="7" xfId="0" applyBorder="1" applyAlignment="1">
      <alignment horizontal="left" vertical="top" wrapText="1"/>
    </xf>
    <xf numFmtId="0" fontId="0" fillId="0" borderId="7" xfId="0" applyBorder="1" applyAlignment="1">
      <alignment vertical="top" wrapText="1"/>
    </xf>
    <xf numFmtId="0" fontId="0" fillId="0" borderId="7" xfId="0" applyBorder="1" applyAlignment="1">
      <alignment vertical="top"/>
    </xf>
    <xf numFmtId="0" fontId="0" fillId="0" borderId="8" xfId="0" applyBorder="1" applyAlignment="1">
      <alignment vertical="top"/>
    </xf>
    <xf numFmtId="9" fontId="0" fillId="0" borderId="33" xfId="1" applyFont="1" applyFill="1" applyBorder="1" applyAlignment="1">
      <alignment horizontal="left" vertical="top"/>
    </xf>
    <xf numFmtId="9" fontId="0" fillId="0" borderId="7" xfId="1" applyFont="1" applyFill="1" applyBorder="1" applyAlignment="1">
      <alignment horizontal="left" vertical="top"/>
    </xf>
    <xf numFmtId="0" fontId="0" fillId="0" borderId="8" xfId="0" applyBorder="1" applyAlignment="1">
      <alignment horizontal="left" vertical="top"/>
    </xf>
    <xf numFmtId="0" fontId="1" fillId="0" borderId="30" xfId="0" applyFont="1" applyBorder="1" applyAlignment="1">
      <alignment horizontal="right" vertical="top"/>
    </xf>
    <xf numFmtId="0" fontId="1" fillId="0" borderId="7" xfId="0" applyFont="1" applyBorder="1" applyAlignment="1">
      <alignment horizontal="right" vertical="top"/>
    </xf>
    <xf numFmtId="44" fontId="35" fillId="0" borderId="44" xfId="7" applyNumberFormat="1" applyFont="1" applyBorder="1" applyAlignment="1">
      <alignment horizontal="left" vertical="center"/>
    </xf>
    <xf numFmtId="0" fontId="16" fillId="0" borderId="7" xfId="0" applyFont="1" applyBorder="1" applyAlignment="1">
      <alignment vertical="top"/>
    </xf>
    <xf numFmtId="0" fontId="1" fillId="0" borderId="31" xfId="0" applyFont="1" applyBorder="1" applyAlignment="1">
      <alignment horizontal="right" vertical="top"/>
    </xf>
    <xf numFmtId="0" fontId="0" fillId="0" borderId="32" xfId="0" applyBorder="1" applyAlignment="1">
      <alignment vertical="top" wrapText="1"/>
    </xf>
    <xf numFmtId="0" fontId="0" fillId="0" borderId="0" xfId="0" applyAlignment="1">
      <alignment vertical="top"/>
    </xf>
    <xf numFmtId="0" fontId="36" fillId="0" borderId="45" xfId="8" applyFont="1" applyBorder="1"/>
    <xf numFmtId="0" fontId="36" fillId="0" borderId="46" xfId="8" applyFont="1" applyBorder="1" applyAlignment="1">
      <alignment horizontal="left" vertical="center"/>
    </xf>
    <xf numFmtId="0" fontId="37" fillId="0" borderId="46" xfId="7" applyFont="1" applyBorder="1" applyAlignment="1">
      <alignment wrapText="1"/>
    </xf>
    <xf numFmtId="44" fontId="36" fillId="0" borderId="46" xfId="9" applyFont="1" applyFill="1" applyBorder="1" applyProtection="1"/>
    <xf numFmtId="172" fontId="36" fillId="0" borderId="46" xfId="9" applyNumberFormat="1" applyFont="1" applyFill="1" applyBorder="1" applyProtection="1"/>
    <xf numFmtId="44" fontId="19" fillId="0" borderId="46" xfId="10" applyNumberFormat="1" applyFont="1" applyFill="1" applyBorder="1" applyAlignment="1">
      <alignment horizontal="left" vertical="center"/>
    </xf>
    <xf numFmtId="44" fontId="19" fillId="0" borderId="44" xfId="7" applyNumberFormat="1" applyBorder="1" applyAlignment="1">
      <alignment horizontal="left" vertical="center"/>
    </xf>
    <xf numFmtId="0" fontId="36" fillId="0" borderId="45" xfId="8" applyFont="1" applyBorder="1" applyAlignment="1">
      <alignment horizontal="center" vertical="center"/>
    </xf>
    <xf numFmtId="0" fontId="36" fillId="0" borderId="46" xfId="8" applyFont="1" applyBorder="1" applyAlignment="1">
      <alignment horizontal="left" vertical="center" wrapText="1"/>
    </xf>
    <xf numFmtId="0" fontId="19" fillId="0" borderId="46" xfId="7" applyBorder="1" applyAlignment="1">
      <alignment wrapText="1"/>
    </xf>
    <xf numFmtId="44" fontId="36" fillId="0" borderId="46" xfId="9" applyFont="1" applyFill="1" applyBorder="1" applyAlignment="1" applyProtection="1">
      <alignment vertical="center"/>
    </xf>
    <xf numFmtId="9" fontId="19" fillId="0" borderId="46" xfId="10" applyFont="1" applyFill="1" applyBorder="1" applyAlignment="1" applyProtection="1">
      <alignment horizontal="center"/>
    </xf>
    <xf numFmtId="44" fontId="36" fillId="0" borderId="46" xfId="9" applyFont="1" applyFill="1" applyBorder="1" applyAlignment="1" applyProtection="1">
      <alignment horizontal="left" vertical="center"/>
    </xf>
    <xf numFmtId="44" fontId="19" fillId="0" borderId="47" xfId="7" applyNumberFormat="1" applyBorder="1" applyAlignment="1">
      <alignment horizontal="left" vertical="center"/>
    </xf>
    <xf numFmtId="0" fontId="38" fillId="0" borderId="46" xfId="8" applyFont="1" applyBorder="1" applyAlignment="1">
      <alignment horizontal="right" vertical="center"/>
    </xf>
    <xf numFmtId="164" fontId="36" fillId="0" borderId="46" xfId="10" applyNumberFormat="1" applyFont="1" applyFill="1" applyBorder="1" applyAlignment="1" applyProtection="1">
      <alignment horizontal="right" vertical="center" wrapText="1"/>
    </xf>
    <xf numFmtId="172" fontId="36" fillId="0" borderId="46" xfId="9" applyNumberFormat="1" applyFont="1" applyFill="1" applyBorder="1" applyAlignment="1" applyProtection="1">
      <alignment vertical="center"/>
    </xf>
    <xf numFmtId="0" fontId="0" fillId="0" borderId="7" xfId="0" applyBorder="1" applyAlignment="1">
      <alignment wrapText="1"/>
    </xf>
    <xf numFmtId="0" fontId="0" fillId="0" borderId="8" xfId="0" applyBorder="1"/>
    <xf numFmtId="9" fontId="0" fillId="0" borderId="33" xfId="1" applyFont="1" applyFill="1" applyBorder="1" applyAlignment="1">
      <alignment horizontal="left" vertical="center"/>
    </xf>
    <xf numFmtId="9" fontId="0" fillId="0" borderId="7" xfId="1" applyFont="1" applyFill="1" applyBorder="1" applyAlignment="1">
      <alignment horizontal="left" vertical="center"/>
    </xf>
    <xf numFmtId="0" fontId="0" fillId="0" borderId="8" xfId="0" applyBorder="1" applyAlignment="1">
      <alignment horizontal="left" vertical="center"/>
    </xf>
    <xf numFmtId="0" fontId="6" fillId="0" borderId="32" xfId="0" applyFont="1" applyBorder="1" applyAlignment="1">
      <alignment vertical="top" wrapText="1"/>
    </xf>
    <xf numFmtId="169" fontId="11" fillId="0" borderId="30" xfId="5" applyNumberFormat="1" applyFont="1" applyFill="1" applyBorder="1" applyAlignment="1">
      <alignment horizontal="right" vertical="center"/>
    </xf>
    <xf numFmtId="169" fontId="11" fillId="0" borderId="7" xfId="5" applyNumberFormat="1" applyFont="1" applyFill="1" applyBorder="1" applyAlignment="1">
      <alignment horizontal="right" vertical="center"/>
    </xf>
    <xf numFmtId="169" fontId="0" fillId="0" borderId="7" xfId="5" applyNumberFormat="1" applyFont="1" applyFill="1" applyBorder="1" applyAlignment="1">
      <alignment horizontal="right" vertical="center"/>
    </xf>
    <xf numFmtId="169" fontId="0" fillId="0" borderId="31" xfId="5" applyNumberFormat="1" applyFont="1" applyFill="1" applyBorder="1" applyAlignment="1">
      <alignment horizontal="right" vertical="center"/>
    </xf>
    <xf numFmtId="0" fontId="32" fillId="0" borderId="32" xfId="0" applyFont="1" applyBorder="1" applyAlignment="1">
      <alignment horizontal="left" vertical="center"/>
    </xf>
    <xf numFmtId="0" fontId="0" fillId="0" borderId="8" xfId="1" applyNumberFormat="1" applyFont="1" applyFill="1" applyBorder="1" applyAlignment="1">
      <alignment horizontal="left" vertical="center"/>
    </xf>
    <xf numFmtId="0" fontId="6" fillId="0" borderId="32" xfId="0" applyFont="1" applyBorder="1" applyAlignment="1">
      <alignment horizontal="left" vertical="top" wrapText="1"/>
    </xf>
    <xf numFmtId="169" fontId="0" fillId="0" borderId="30" xfId="0" applyNumberFormat="1" applyBorder="1" applyAlignment="1">
      <alignment horizontal="right"/>
    </xf>
    <xf numFmtId="169" fontId="0" fillId="0" borderId="7" xfId="0" applyNumberFormat="1" applyBorder="1" applyAlignment="1">
      <alignment horizontal="right"/>
    </xf>
    <xf numFmtId="169" fontId="0" fillId="0" borderId="7" xfId="0" applyNumberFormat="1" applyBorder="1"/>
    <xf numFmtId="169" fontId="0" fillId="0" borderId="31" xfId="0" applyNumberFormat="1" applyBorder="1" applyAlignment="1">
      <alignment horizontal="right"/>
    </xf>
    <xf numFmtId="0" fontId="0" fillId="0" borderId="32" xfId="0" applyBorder="1" applyAlignment="1">
      <alignment wrapText="1"/>
    </xf>
    <xf numFmtId="0" fontId="0" fillId="0" borderId="7" xfId="0" applyBorder="1" applyAlignment="1">
      <alignment horizontal="left" wrapText="1"/>
    </xf>
    <xf numFmtId="0" fontId="0" fillId="0" borderId="8" xfId="0" applyBorder="1" applyAlignment="1">
      <alignment horizontal="left" wrapText="1"/>
    </xf>
    <xf numFmtId="9" fontId="32" fillId="0" borderId="7" xfId="1" applyFont="1" applyFill="1" applyBorder="1" applyAlignment="1">
      <alignment horizontal="left" vertical="center"/>
    </xf>
    <xf numFmtId="10" fontId="32" fillId="0" borderId="7" xfId="1" applyNumberFormat="1" applyFont="1" applyFill="1" applyBorder="1" applyAlignment="1">
      <alignment horizontal="left" vertical="center"/>
    </xf>
    <xf numFmtId="0" fontId="32" fillId="0" borderId="8" xfId="0" applyFont="1" applyBorder="1" applyAlignment="1">
      <alignment horizontal="left" vertical="center"/>
    </xf>
    <xf numFmtId="0" fontId="0" fillId="0" borderId="32" xfId="0" applyBorder="1"/>
    <xf numFmtId="9" fontId="32" fillId="0" borderId="33" xfId="1" applyFont="1" applyFill="1" applyBorder="1" applyAlignment="1">
      <alignment horizontal="left" vertical="center"/>
    </xf>
    <xf numFmtId="169" fontId="11" fillId="0" borderId="30" xfId="0" applyNumberFormat="1" applyFont="1" applyBorder="1" applyAlignment="1">
      <alignment horizontal="right" vertical="center"/>
    </xf>
    <xf numFmtId="169" fontId="16" fillId="0" borderId="7" xfId="0" applyNumberFormat="1" applyFont="1" applyBorder="1"/>
    <xf numFmtId="169" fontId="1" fillId="0" borderId="7" xfId="5" applyNumberFormat="1" applyFont="1" applyFill="1" applyBorder="1" applyAlignment="1">
      <alignment horizontal="right" vertical="center"/>
    </xf>
    <xf numFmtId="0" fontId="21" fillId="0" borderId="32" xfId="0" applyFont="1" applyBorder="1" applyAlignment="1">
      <alignment vertical="center" wrapText="1"/>
    </xf>
    <xf numFmtId="9" fontId="1" fillId="0" borderId="7" xfId="1" applyFont="1" applyFill="1" applyBorder="1" applyAlignment="1">
      <alignment horizontal="right" vertical="center"/>
    </xf>
    <xf numFmtId="0" fontId="32" fillId="0" borderId="7" xfId="0" applyFont="1" applyBorder="1" applyAlignment="1">
      <alignment horizontal="left" vertical="center"/>
    </xf>
    <xf numFmtId="0" fontId="0" fillId="0" borderId="21" xfId="0" applyBorder="1" applyAlignment="1">
      <alignment horizontal="left" vertical="top"/>
    </xf>
    <xf numFmtId="0" fontId="33" fillId="0" borderId="21" xfId="6" applyBorder="1" applyAlignment="1">
      <alignment vertical="center"/>
    </xf>
    <xf numFmtId="0" fontId="0" fillId="0" borderId="21" xfId="0" applyBorder="1" applyAlignment="1">
      <alignment horizontal="left" vertical="top" wrapText="1"/>
    </xf>
    <xf numFmtId="0" fontId="0" fillId="0" borderId="21" xfId="0" applyBorder="1" applyAlignment="1">
      <alignment wrapText="1"/>
    </xf>
    <xf numFmtId="0" fontId="0" fillId="0" borderId="21" xfId="0" applyBorder="1"/>
    <xf numFmtId="0" fontId="0" fillId="0" borderId="22" xfId="0" applyBorder="1"/>
    <xf numFmtId="9" fontId="32" fillId="0" borderId="29" xfId="1" applyFont="1" applyFill="1" applyBorder="1" applyAlignment="1">
      <alignment horizontal="left" vertical="center"/>
    </xf>
    <xf numFmtId="9" fontId="32" fillId="0" borderId="21" xfId="1" applyFont="1" applyFill="1" applyBorder="1" applyAlignment="1">
      <alignment horizontal="left" vertical="center"/>
    </xf>
    <xf numFmtId="10" fontId="32" fillId="0" borderId="21" xfId="1" applyNumberFormat="1" applyFont="1" applyFill="1" applyBorder="1" applyAlignment="1">
      <alignment horizontal="left" vertical="center"/>
    </xf>
    <xf numFmtId="0" fontId="32" fillId="0" borderId="22" xfId="0" applyFont="1" applyBorder="1" applyAlignment="1">
      <alignment horizontal="left" vertical="center"/>
    </xf>
    <xf numFmtId="169" fontId="1" fillId="0" borderId="31" xfId="5" applyNumberFormat="1" applyFont="1" applyFill="1" applyBorder="1" applyAlignment="1">
      <alignment horizontal="right" vertical="center"/>
    </xf>
    <xf numFmtId="0" fontId="0" fillId="0" borderId="34" xfId="0" applyBorder="1" applyAlignment="1">
      <alignment horizontal="left" vertical="top"/>
    </xf>
    <xf numFmtId="0" fontId="0" fillId="0" borderId="34" xfId="0" applyBorder="1" applyAlignment="1">
      <alignment horizontal="left" vertical="top" wrapText="1"/>
    </xf>
    <xf numFmtId="0" fontId="0" fillId="0" borderId="34" xfId="0" applyBorder="1" applyAlignment="1">
      <alignment wrapText="1"/>
    </xf>
    <xf numFmtId="0" fontId="0" fillId="0" borderId="34" xfId="0" applyBorder="1"/>
    <xf numFmtId="0" fontId="0" fillId="0" borderId="35" xfId="0" applyBorder="1"/>
    <xf numFmtId="9" fontId="32" fillId="0" borderId="36" xfId="1" applyFont="1" applyFill="1" applyBorder="1" applyAlignment="1">
      <alignment horizontal="left" vertical="center"/>
    </xf>
    <xf numFmtId="9" fontId="32" fillId="0" borderId="34" xfId="1" applyFont="1" applyFill="1" applyBorder="1" applyAlignment="1">
      <alignment horizontal="left" vertical="center"/>
    </xf>
    <xf numFmtId="10" fontId="32" fillId="0" borderId="34" xfId="1" applyNumberFormat="1" applyFont="1" applyFill="1" applyBorder="1" applyAlignment="1">
      <alignment horizontal="left" vertical="center"/>
    </xf>
    <xf numFmtId="0" fontId="32" fillId="0" borderId="35" xfId="0" applyFont="1" applyBorder="1" applyAlignment="1">
      <alignment horizontal="left" vertical="center"/>
    </xf>
    <xf numFmtId="169" fontId="11" fillId="0" borderId="11" xfId="5" applyNumberFormat="1" applyFont="1" applyFill="1" applyBorder="1" applyAlignment="1">
      <alignment horizontal="right" vertical="center"/>
    </xf>
    <xf numFmtId="169" fontId="11" fillId="0" borderId="12" xfId="5" applyNumberFormat="1" applyFont="1" applyFill="1" applyBorder="1" applyAlignment="1">
      <alignment horizontal="right" vertical="center"/>
    </xf>
    <xf numFmtId="169" fontId="1" fillId="0" borderId="37" xfId="0" applyNumberFormat="1" applyFont="1" applyBorder="1" applyAlignment="1">
      <alignment horizontal="right"/>
    </xf>
    <xf numFmtId="9" fontId="32" fillId="0" borderId="38" xfId="1" applyFont="1" applyFill="1" applyBorder="1" applyAlignment="1">
      <alignment horizontal="left" vertical="center"/>
    </xf>
    <xf numFmtId="9" fontId="32" fillId="0" borderId="39" xfId="1" applyFont="1" applyFill="1" applyBorder="1" applyAlignment="1">
      <alignment horizontal="left" vertical="center"/>
    </xf>
    <xf numFmtId="10" fontId="32" fillId="0" borderId="39" xfId="1" applyNumberFormat="1" applyFont="1" applyFill="1" applyBorder="1" applyAlignment="1">
      <alignment horizontal="left" vertical="center"/>
    </xf>
    <xf numFmtId="0" fontId="32" fillId="0" borderId="40" xfId="0" applyFont="1" applyBorder="1" applyAlignment="1">
      <alignment horizontal="left" vertical="center"/>
    </xf>
    <xf numFmtId="0" fontId="0" fillId="0" borderId="41" xfId="0" applyBorder="1"/>
    <xf numFmtId="169" fontId="11" fillId="0" borderId="42" xfId="5" applyNumberFormat="1" applyFont="1" applyFill="1" applyBorder="1" applyAlignment="1">
      <alignment horizontal="right" vertical="center"/>
    </xf>
    <xf numFmtId="169" fontId="11" fillId="0" borderId="39" xfId="5" applyNumberFormat="1" applyFont="1" applyFill="1" applyBorder="1" applyAlignment="1">
      <alignment horizontal="right" vertical="center"/>
    </xf>
    <xf numFmtId="169" fontId="1" fillId="0" borderId="43" xfId="5" applyNumberFormat="1" applyFont="1" applyFill="1" applyBorder="1" applyAlignment="1">
      <alignment horizontal="right" vertical="center"/>
    </xf>
    <xf numFmtId="0" fontId="32" fillId="0" borderId="41" xfId="0" applyFont="1" applyBorder="1" applyAlignment="1">
      <alignment horizontal="left" vertical="center" wrapTex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0" fillId="0" borderId="0" xfId="0" applyAlignment="1">
      <alignment horizontal="left"/>
    </xf>
    <xf numFmtId="0" fontId="3" fillId="0" borderId="24" xfId="0" applyFont="1" applyBorder="1" applyAlignment="1">
      <alignment horizontal="center" vertical="center"/>
    </xf>
    <xf numFmtId="0" fontId="3" fillId="0" borderId="4" xfId="0" applyFont="1" applyBorder="1" applyAlignment="1">
      <alignment horizontal="center" vertical="center"/>
    </xf>
  </cellXfs>
  <cellStyles count="11">
    <cellStyle name="Comma 2" xfId="5" xr:uid="{4C49B87F-1DEB-4A27-8194-A023DED0C7AF}"/>
    <cellStyle name="Currency" xfId="2" builtinId="4"/>
    <cellStyle name="Currency 2" xfId="9" xr:uid="{981E3891-6604-4B99-B1C2-5973243CE5F0}"/>
    <cellStyle name="Good 3" xfId="4" xr:uid="{40A9DB12-1B05-4C42-96C8-D36A6B78EF6C}"/>
    <cellStyle name="Normal" xfId="0" builtinId="0"/>
    <cellStyle name="Normal 18" xfId="6" xr:uid="{B6F3CAAA-C3EF-4C12-9424-1B85F4BF6D0C}"/>
    <cellStyle name="Normal 2" xfId="3" xr:uid="{89799891-EA2A-47D7-8D3A-483ED54AE1A4}"/>
    <cellStyle name="Normal 2 2" xfId="7" xr:uid="{8524C010-1646-4F91-8BED-A9008EF33A8D}"/>
    <cellStyle name="Normal 2 2 2" xfId="8" xr:uid="{D52FF90A-03E9-4BE5-AAA1-CF5A6CE8E158}"/>
    <cellStyle name="Percent" xfId="1" builtinId="5"/>
    <cellStyle name="Percent 2" xfId="10" xr:uid="{EB58029F-1741-4308-9BDE-FB5824CA0D1F}"/>
  </cellStyles>
  <dxfs count="0"/>
  <tableStyles count="0" defaultTableStyle="TableStyleMedium2" defaultPivotStyle="PivotStyleLight16"/>
  <colors>
    <mruColors>
      <color rgb="FFCED3FE"/>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Greg Webb" id="{22C8EAAB-CE91-44B5-A39C-7F73050C3E7A}" userId="S::WebbG@aklc.govt.nz::fc255d99-719c-4673-aa7f-40438174bb7e" providerId="AD"/>
  <person displayName="Beth Sullivan" id="{244A9B84-E3AD-4398-B81E-79A6204035FA}" userId="S::beths@aklc.govt.nz::7a1e8841-3dd7-4d12-b3b1-3b709b90d6a4" providerId="AD"/>
  <person displayName="Alanah Charlton" id="{F37636C2-AEBF-479B-89A9-0C26BA88D8B6}" userId="S::AHC@harrisongrierson.com::9f0872f3-2952-429f-87c9-5ed9665b3d9c" providerId="AD"/>
  <person displayName="Ronan Kelly" id="{117B79CE-DD27-4268-B192-842C2C89963C}" userId="S::ROK@harrisongrierson.com::9c292817-f7cf-4536-ba15-a781872d067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 dT="2024-07-29T03:33:33.07" personId="{244A9B84-E3AD-4398-B81E-79A6204035FA}" id="{D27374A1-53F7-4FEE-93A8-F381A59A4A56}">
    <text>Existing pipe diameter is 70% of upgraded pipe diameter so have pro-rata costs on this basis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4-05-09T21:27:06.88" personId="{F37636C2-AEBF-479B-89A9-0C26BA88D8B6}" id="{A7BEC6CE-6A4A-4806-9DF8-7F67B3EED209}">
    <text xml:space="preserve">Identified as a WSP upgrade or extension. </text>
  </threadedComment>
  <threadedComment ref="B1" dT="2024-05-09T21:27:28.52" personId="{F37636C2-AEBF-479B-89A9-0C26BA88D8B6}" id="{6CF800BB-9C84-43FE-B37D-C3A2320B655D}">
    <text xml:space="preserve">WSP ID identifier. </text>
  </threadedComment>
  <threadedComment ref="C1" dT="2024-05-09T21:27:58.97" personId="{F37636C2-AEBF-479B-89A9-0C26BA88D8B6}" id="{BE10407A-B89B-4341-9A6C-121373EDDD48}">
    <text xml:space="preserve">SAP ID identifier - Auckland Council database of assets. </text>
  </threadedComment>
  <threadedComment ref="D1" dT="2024-05-09T22:22:05.12" personId="{F37636C2-AEBF-479B-89A9-0C26BA88D8B6}" id="{7194FD31-1A6D-4DB9-B11B-6C1CAA69B63E}">
    <text xml:space="preserve">Length determined from Auckland GIS data. </text>
  </threadedComment>
  <threadedComment ref="E1" dT="2024-05-09T21:45:44.35" personId="{F37636C2-AEBF-479B-89A9-0C26BA88D8B6}" id="{944C86DE-C4F1-40EF-B09F-242CD4299677}">
    <text>Component of Growth for extensions 100%.</text>
  </threadedComment>
  <threadedComment ref="F1" dT="2024-05-09T21:33:56.98" personId="{F37636C2-AEBF-479B-89A9-0C26BA88D8B6}" id="{A63E765A-15DC-4410-90D0-07CD1EA09927}">
    <text xml:space="preserve">Existing diameter of pipe identified from Auckland Council GeoMaps. </text>
  </threadedComment>
  <threadedComment ref="G1" dT="2024-05-09T21:39:06.66" personId="{F37636C2-AEBF-479B-89A9-0C26BA88D8B6}" id="{2AC01649-9EB2-4795-9342-68D8A718572C}">
    <text xml:space="preserve">Pipe diameter identified from WSP analysis. Inputs include catchment imperviousness of 90% and 2.1 degrees of climate change increase to rainfall. </text>
  </threadedComment>
  <threadedComment ref="H1" dT="2024-05-09T21:49:46.06" personId="{F37636C2-AEBF-479B-89A9-0C26BA88D8B6}" id="{81BD03FE-20D9-46D2-92A5-2AB29F45A251}">
    <text>Pipe critical number. (Either 4 or 5). Data obtained from Jean Pierre, Auckland Council GIS files.</text>
  </threadedComment>
  <threadedComment ref="I1" dT="2024-05-09T21:50:38.72" personId="{F37636C2-AEBF-479B-89A9-0C26BA88D8B6}" id="{3A73E376-D440-4225-A27F-3DEDC35E8B79}">
    <text>Pipe condition number. Data obtained from Jean Pierre, Auckland Council GIS files.</text>
  </threadedComment>
  <threadedComment ref="I1" dT="2024-05-09T21:56:15.97" personId="{F37636C2-AEBF-479B-89A9-0C26BA88D8B6}" id="{459D5850-ABFD-40C8-92F5-C70EDF7F37C7}" parentId="{3A73E376-D440-4225-A27F-3DEDC35E8B79}">
    <text>Pipes which are not surveyed do not have a condition number.</text>
  </threadedComment>
  <threadedComment ref="K1" dT="2024-05-09T22:00:55.36" personId="{F37636C2-AEBF-479B-89A9-0C26BA88D8B6}" id="{92B58719-ACDA-4AE6-98FB-AB3EC2C19AE2}">
    <text xml:space="preserve">WSP identified network servicing KO lots. The timing of the network is governed by the WSP upgrade / extension servicing the superlot stages outlined in the KO GINW, Pt England &amp; Panmure North SMP's. Note the stages for Omaru and Panmure North correspond to alternative timings. </text>
  </threadedComment>
  <threadedComment ref="L1" dT="2024-05-23T02:45:23.97" personId="{F37636C2-AEBF-479B-89A9-0C26BA88D8B6}" id="{206E6F54-49FD-4CE4-9539-74E2599052D4}">
    <text>Auckland Council MSM Zone, sourced from Boris.</text>
  </threadedComment>
</ThreadedComments>
</file>

<file path=xl/threadedComments/threadedComment3.xml><?xml version="1.0" encoding="utf-8"?>
<ThreadedComments xmlns="http://schemas.microsoft.com/office/spreadsheetml/2018/threadedcomments" xmlns:x="http://schemas.openxmlformats.org/spreadsheetml/2006/main">
  <threadedComment ref="A2" dT="2024-05-09T21:27:06.88" personId="{F37636C2-AEBF-479B-89A9-0C26BA88D8B6}" id="{5C3A6872-60D1-46D1-9DEA-7B13DD61D978}">
    <text xml:space="preserve">Identified as a WSP upgrade or extension. </text>
  </threadedComment>
  <threadedComment ref="C2" dT="2024-05-09T21:27:58.97" personId="{F37636C2-AEBF-479B-89A9-0C26BA88D8B6}" id="{A96893C1-D796-4363-92E6-D4052AB41F56}">
    <text xml:space="preserve">SAP ID identifier - Auckland Council database of assets. </text>
  </threadedComment>
  <threadedComment ref="D2" dT="2024-05-09T22:22:05.12" personId="{F37636C2-AEBF-479B-89A9-0C26BA88D8B6}" id="{F9C6CB18-9B98-45FF-BA6C-6B699CE1E617}">
    <text xml:space="preserve">Length determined from Auckland GIS data. </text>
  </threadedComment>
  <threadedComment ref="F2" dT="2024-05-09T21:33:56.98" personId="{F37636C2-AEBF-479B-89A9-0C26BA88D8B6}" id="{C222FE13-5ACA-48C4-AD5B-F74A40FA4C11}">
    <text xml:space="preserve">Existing diameter of pipe identified from Auckland Council GeoMaps. </text>
  </threadedComment>
  <threadedComment ref="G2" dT="2024-05-09T21:39:06.66" personId="{F37636C2-AEBF-479B-89A9-0C26BA88D8B6}" id="{4E863777-999F-4155-9A5A-33576EBB744F}">
    <text xml:space="preserve">Pipe diameter identified from WSP analysis. Inputs include catchment imperviousness of 90% and 2.1 degrees of climate change increase to rainfall. </text>
  </threadedComment>
  <threadedComment ref="H2" dT="2024-05-09T21:49:46.06" personId="{F37636C2-AEBF-479B-89A9-0C26BA88D8B6}" id="{5D389B20-EF3E-4288-A4A2-DF547E2E81E8}">
    <text>Pipe critical number. (Either 4 or 5). Data obtained from Jean Pierre, Auckland Council GIS files.</text>
  </threadedComment>
  <threadedComment ref="H2" dT="2024-10-17T03:15:55.67" personId="{117B79CE-DD27-4268-B192-842C2C89963C}" id="{D423D60D-1909-4810-AA50-2DA2E1A06A6A}" parentId="{5D389B20-EF3E-4288-A4A2-DF547E2E81E8}">
    <text xml:space="preserve">If not 4 or 5 not displayed. </text>
  </threadedComment>
</ThreadedComments>
</file>

<file path=xl/threadedComments/threadedComment4.xml><?xml version="1.0" encoding="utf-8"?>
<ThreadedComments xmlns="http://schemas.microsoft.com/office/spreadsheetml/2018/threadedcomments" xmlns:x="http://schemas.openxmlformats.org/spreadsheetml/2006/main">
  <threadedComment ref="M8" dT="2025-05-08T04:50:52.27" personId="{22C8EAAB-CE91-44B5-A39C-7F73050C3E7A}" id="{7C0E0EBA-9143-4A6B-87E7-948C118242A7}">
    <text>Project no longer catering for growth</text>
  </threadedComment>
  <threadedComment ref="N8" dT="2025-05-08T04:51:01.46" personId="{22C8EAAB-CE91-44B5-A39C-7F73050C3E7A}" id="{21BC5412-0E6A-4949-9A00-5C3ADD877D93}">
    <text>Project no longer catering for growth</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9E227-4B8B-49B1-B933-7DF657A05282}">
  <sheetPr>
    <tabColor theme="9" tint="0.59999389629810485"/>
  </sheetPr>
  <dimension ref="A1:G57"/>
  <sheetViews>
    <sheetView workbookViewId="0">
      <selection activeCell="D6" sqref="D6"/>
    </sheetView>
  </sheetViews>
  <sheetFormatPr defaultRowHeight="14.4" x14ac:dyDescent="0.3"/>
  <cols>
    <col min="1" max="1" width="21.33203125" customWidth="1"/>
    <col min="2" max="2" width="29.33203125" customWidth="1"/>
    <col min="3" max="3" width="24.33203125" customWidth="1"/>
    <col min="4" max="4" width="22.5546875" customWidth="1"/>
    <col min="5" max="5" width="23" customWidth="1"/>
    <col min="6" max="6" width="16.109375" customWidth="1"/>
    <col min="7" max="7" width="39.88671875" customWidth="1"/>
  </cols>
  <sheetData>
    <row r="1" spans="1:7" ht="15" thickBot="1" x14ac:dyDescent="0.35">
      <c r="A1" s="15"/>
    </row>
    <row r="2" spans="1:7" ht="29.4" thickBot="1" x14ac:dyDescent="0.35">
      <c r="A2" s="16" t="s">
        <v>58</v>
      </c>
      <c r="B2" s="17" t="s">
        <v>59</v>
      </c>
      <c r="C2" s="17" t="s">
        <v>60</v>
      </c>
      <c r="D2" s="17" t="s">
        <v>61</v>
      </c>
      <c r="E2" s="17" t="s">
        <v>62</v>
      </c>
      <c r="F2" s="18" t="s">
        <v>63</v>
      </c>
      <c r="G2" s="16" t="s">
        <v>64</v>
      </c>
    </row>
    <row r="3" spans="1:7" ht="29.4" thickBot="1" x14ac:dyDescent="0.35">
      <c r="A3" s="19" t="s">
        <v>21</v>
      </c>
      <c r="B3" s="20" t="s">
        <v>65</v>
      </c>
      <c r="C3" s="21" t="s">
        <v>66</v>
      </c>
      <c r="D3" s="22">
        <v>1</v>
      </c>
      <c r="E3" s="22">
        <v>0.7</v>
      </c>
      <c r="F3" s="23">
        <f>D3*E3</f>
        <v>0.7</v>
      </c>
      <c r="G3" s="19" t="s">
        <v>67</v>
      </c>
    </row>
    <row r="4" spans="1:7" ht="43.8" thickBot="1" x14ac:dyDescent="0.35">
      <c r="A4" s="19" t="s">
        <v>21</v>
      </c>
      <c r="B4" s="20" t="s">
        <v>65</v>
      </c>
      <c r="C4" s="21">
        <v>3</v>
      </c>
      <c r="D4" s="22">
        <v>0.3</v>
      </c>
      <c r="E4" s="22">
        <v>0.7</v>
      </c>
      <c r="F4" s="23">
        <f t="shared" ref="F4:F9" si="0">D4*E4</f>
        <v>0.21</v>
      </c>
      <c r="G4" s="19" t="s">
        <v>68</v>
      </c>
    </row>
    <row r="5" spans="1:7" ht="29.4" thickBot="1" x14ac:dyDescent="0.35">
      <c r="A5" s="19" t="s">
        <v>21</v>
      </c>
      <c r="B5" s="20" t="s">
        <v>65</v>
      </c>
      <c r="C5" s="21" t="s">
        <v>69</v>
      </c>
      <c r="D5" s="22">
        <v>0</v>
      </c>
      <c r="E5" s="22">
        <v>0.7</v>
      </c>
      <c r="F5" s="23">
        <f t="shared" si="0"/>
        <v>0</v>
      </c>
      <c r="G5" s="19" t="s">
        <v>70</v>
      </c>
    </row>
    <row r="6" spans="1:7" ht="43.8" thickBot="1" x14ac:dyDescent="0.35">
      <c r="A6" s="19" t="s">
        <v>21</v>
      </c>
      <c r="B6" s="20" t="s">
        <v>65</v>
      </c>
      <c r="C6" s="21" t="s">
        <v>27</v>
      </c>
      <c r="D6" s="22">
        <f>G17</f>
        <v>0.16654000000000002</v>
      </c>
      <c r="E6" s="22">
        <v>0.7</v>
      </c>
      <c r="F6" s="23">
        <f t="shared" si="0"/>
        <v>0.116578</v>
      </c>
      <c r="G6" s="19" t="s">
        <v>71</v>
      </c>
    </row>
    <row r="7" spans="1:7" ht="43.8" thickBot="1" x14ac:dyDescent="0.35">
      <c r="A7" s="19" t="s">
        <v>21</v>
      </c>
      <c r="B7" s="20" t="s">
        <v>72</v>
      </c>
      <c r="C7" s="21" t="s">
        <v>73</v>
      </c>
      <c r="D7" s="22">
        <v>3.7999999999999999E-2</v>
      </c>
      <c r="E7" s="22">
        <v>0.7</v>
      </c>
      <c r="F7" s="23">
        <f t="shared" si="0"/>
        <v>2.6599999999999999E-2</v>
      </c>
      <c r="G7" s="19" t="s">
        <v>74</v>
      </c>
    </row>
    <row r="8" spans="1:7" ht="15" thickBot="1" x14ac:dyDescent="0.35">
      <c r="A8" s="19" t="s">
        <v>25</v>
      </c>
      <c r="B8" s="20" t="s">
        <v>75</v>
      </c>
      <c r="C8" s="21" t="s">
        <v>75</v>
      </c>
      <c r="D8" s="22">
        <v>0</v>
      </c>
      <c r="E8" s="22">
        <v>0</v>
      </c>
      <c r="F8" s="23">
        <f t="shared" si="0"/>
        <v>0</v>
      </c>
      <c r="G8" s="19" t="s">
        <v>76</v>
      </c>
    </row>
    <row r="9" spans="1:7" ht="15" thickBot="1" x14ac:dyDescent="0.35">
      <c r="A9" s="19" t="s">
        <v>77</v>
      </c>
      <c r="B9" s="20" t="s">
        <v>73</v>
      </c>
      <c r="C9" s="21" t="s">
        <v>73</v>
      </c>
      <c r="D9" s="22">
        <v>1</v>
      </c>
      <c r="E9" s="22">
        <v>1</v>
      </c>
      <c r="F9" s="23">
        <f t="shared" si="0"/>
        <v>1</v>
      </c>
      <c r="G9" s="19" t="s">
        <v>78</v>
      </c>
    </row>
    <row r="13" spans="1:7" x14ac:dyDescent="0.3">
      <c r="A13" t="s">
        <v>79</v>
      </c>
    </row>
    <row r="14" spans="1:7" x14ac:dyDescent="0.3">
      <c r="A14" s="24" t="s">
        <v>80</v>
      </c>
      <c r="B14" s="25">
        <v>1</v>
      </c>
      <c r="C14" s="25">
        <v>2</v>
      </c>
      <c r="D14" s="25">
        <v>3</v>
      </c>
      <c r="E14" s="25">
        <v>4</v>
      </c>
      <c r="F14" s="26">
        <v>5</v>
      </c>
      <c r="G14" s="27" t="s">
        <v>81</v>
      </c>
    </row>
    <row r="15" spans="1:7" ht="27.6" x14ac:dyDescent="0.3">
      <c r="A15" s="28" t="s">
        <v>82</v>
      </c>
      <c r="B15" s="197">
        <v>0.1168</v>
      </c>
      <c r="C15" s="197">
        <v>0.53969999999999996</v>
      </c>
      <c r="D15" s="197">
        <v>0.25280000000000002</v>
      </c>
      <c r="E15" s="197">
        <v>7.6100000000000001E-2</v>
      </c>
      <c r="F15" s="198">
        <v>1.46E-2</v>
      </c>
      <c r="G15" s="29">
        <f>SUM(B15:F15)</f>
        <v>1</v>
      </c>
    </row>
    <row r="16" spans="1:7" ht="27.6" x14ac:dyDescent="0.3">
      <c r="A16" s="28" t="s">
        <v>83</v>
      </c>
      <c r="B16" s="199">
        <v>0</v>
      </c>
      <c r="C16" s="199">
        <v>0</v>
      </c>
      <c r="D16" s="199">
        <v>0.3</v>
      </c>
      <c r="E16" s="199">
        <v>1</v>
      </c>
      <c r="F16" s="200">
        <v>1</v>
      </c>
      <c r="G16" s="29"/>
    </row>
    <row r="17" spans="1:7" ht="27.6" x14ac:dyDescent="0.3">
      <c r="A17" s="28" t="s">
        <v>84</v>
      </c>
      <c r="B17" s="199">
        <f>B15*B16</f>
        <v>0</v>
      </c>
      <c r="C17" s="199">
        <f t="shared" ref="C17:F17" si="1">C15*C16</f>
        <v>0</v>
      </c>
      <c r="D17" s="197">
        <f t="shared" si="1"/>
        <v>7.5840000000000005E-2</v>
      </c>
      <c r="E17" s="197">
        <f t="shared" si="1"/>
        <v>7.6100000000000001E-2</v>
      </c>
      <c r="F17" s="197">
        <f t="shared" si="1"/>
        <v>1.46E-2</v>
      </c>
      <c r="G17" s="29">
        <f>SUM(B17:F17)</f>
        <v>0.16654000000000002</v>
      </c>
    </row>
    <row r="18" spans="1:7" x14ac:dyDescent="0.3">
      <c r="B18" s="30"/>
    </row>
    <row r="20" spans="1:7" ht="27.6" x14ac:dyDescent="0.3">
      <c r="A20" s="31" t="s">
        <v>85</v>
      </c>
    </row>
    <row r="21" spans="1:7" x14ac:dyDescent="0.3">
      <c r="A21" s="31" t="s">
        <v>86</v>
      </c>
      <c r="B21" t="s">
        <v>87</v>
      </c>
    </row>
    <row r="22" spans="1:7" x14ac:dyDescent="0.3">
      <c r="A22" s="32">
        <v>5</v>
      </c>
      <c r="B22" s="33">
        <f>F3</f>
        <v>0.7</v>
      </c>
    </row>
    <row r="23" spans="1:7" x14ac:dyDescent="0.3">
      <c r="A23" s="32">
        <v>4</v>
      </c>
      <c r="B23" s="33">
        <f>F3</f>
        <v>0.7</v>
      </c>
    </row>
    <row r="24" spans="1:7" x14ac:dyDescent="0.3">
      <c r="A24" s="32">
        <v>3</v>
      </c>
      <c r="B24" s="33">
        <f>F4</f>
        <v>0.21</v>
      </c>
    </row>
    <row r="25" spans="1:7" x14ac:dyDescent="0.3">
      <c r="A25" s="32">
        <v>2</v>
      </c>
      <c r="B25" s="29">
        <f>F5</f>
        <v>0</v>
      </c>
      <c r="C25" s="34"/>
    </row>
    <row r="26" spans="1:7" x14ac:dyDescent="0.3">
      <c r="A26" s="32">
        <v>1</v>
      </c>
      <c r="B26" s="29">
        <f>F5</f>
        <v>0</v>
      </c>
      <c r="C26" s="34"/>
    </row>
    <row r="27" spans="1:7" x14ac:dyDescent="0.3">
      <c r="A27" s="35" t="s">
        <v>27</v>
      </c>
      <c r="B27" s="33">
        <f>F6</f>
        <v>0.116578</v>
      </c>
    </row>
    <row r="29" spans="1:7" x14ac:dyDescent="0.3">
      <c r="B29" s="34"/>
    </row>
    <row r="33" spans="6:7" x14ac:dyDescent="0.3">
      <c r="G33" s="10"/>
    </row>
    <row r="34" spans="6:7" x14ac:dyDescent="0.3">
      <c r="G34" s="3"/>
    </row>
    <row r="35" spans="6:7" x14ac:dyDescent="0.3">
      <c r="G35" s="3"/>
    </row>
    <row r="36" spans="6:7" x14ac:dyDescent="0.3">
      <c r="G36" s="3"/>
    </row>
    <row r="37" spans="6:7" x14ac:dyDescent="0.3">
      <c r="G37" s="3"/>
    </row>
    <row r="38" spans="6:7" x14ac:dyDescent="0.3">
      <c r="G38" s="3"/>
    </row>
    <row r="39" spans="6:7" x14ac:dyDescent="0.3">
      <c r="F39" s="2"/>
      <c r="G39" s="3"/>
    </row>
    <row r="40" spans="6:7" x14ac:dyDescent="0.3">
      <c r="G40" s="3"/>
    </row>
    <row r="41" spans="6:7" x14ac:dyDescent="0.3">
      <c r="G41" s="3"/>
    </row>
    <row r="42" spans="6:7" x14ac:dyDescent="0.3">
      <c r="G42" s="3"/>
    </row>
    <row r="43" spans="6:7" x14ac:dyDescent="0.3">
      <c r="G43" s="3"/>
    </row>
    <row r="44" spans="6:7" x14ac:dyDescent="0.3">
      <c r="G44" s="3"/>
    </row>
    <row r="45" spans="6:7" x14ac:dyDescent="0.3">
      <c r="F45" s="2"/>
      <c r="G45" s="3"/>
    </row>
    <row r="46" spans="6:7" x14ac:dyDescent="0.3">
      <c r="G46" s="3"/>
    </row>
    <row r="51" spans="6:6" x14ac:dyDescent="0.3">
      <c r="F51" s="2"/>
    </row>
    <row r="57" spans="6:6" x14ac:dyDescent="0.3">
      <c r="F57" s="2"/>
    </row>
  </sheetData>
  <sheetProtection algorithmName="SHA-512" hashValue="Rp/fWZB1S5QbBTnxGxnHYDzIM1Col3otyxhh35ZTirL1vytGd49zVSnXw8qNECHVdmlBPxQ5PSSXnfKczmXJYw==" saltValue="d1J8qv5Te0RpjS1bJk7Rag==" spinCount="100000" sheet="1" objects="1" scenarios="1"/>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C465-332A-4AFC-9B6F-D76DCA399BDC}">
  <sheetPr>
    <tabColor theme="5" tint="0.59999389629810485"/>
  </sheetPr>
  <dimension ref="A1:AC9"/>
  <sheetViews>
    <sheetView workbookViewId="0">
      <selection activeCell="E14" sqref="E14"/>
    </sheetView>
  </sheetViews>
  <sheetFormatPr defaultRowHeight="14.4" x14ac:dyDescent="0.3"/>
  <cols>
    <col min="1" max="1" width="11.33203125" customWidth="1"/>
    <col min="2" max="2" width="19.6640625" customWidth="1"/>
    <col min="3" max="3" width="11.33203125" customWidth="1"/>
    <col min="4" max="4" width="21.33203125" customWidth="1"/>
    <col min="5" max="5" width="25.5546875" customWidth="1"/>
    <col min="6" max="6" width="15.6640625" bestFit="1" customWidth="1"/>
    <col min="7" max="7" width="20.109375" customWidth="1"/>
    <col min="8" max="12" width="11.33203125" customWidth="1"/>
    <col min="13" max="13" width="14.5546875" customWidth="1"/>
    <col min="14" max="14" width="13.88671875" customWidth="1"/>
    <col min="15" max="16" width="11.33203125" customWidth="1"/>
    <col min="19" max="19" width="23.5546875" customWidth="1"/>
    <col min="22" max="22" width="13.88671875" customWidth="1"/>
  </cols>
  <sheetData>
    <row r="1" spans="1:29" ht="11.4" customHeight="1" x14ac:dyDescent="0.3">
      <c r="A1">
        <v>30</v>
      </c>
    </row>
    <row r="2" spans="1:29" hidden="1" x14ac:dyDescent="0.3"/>
    <row r="3" spans="1:29" s="160" customFormat="1" ht="76.5" customHeight="1" x14ac:dyDescent="0.3">
      <c r="A3" s="147" t="s">
        <v>90</v>
      </c>
      <c r="B3" s="148" t="s">
        <v>91</v>
      </c>
      <c r="C3" s="148" t="s">
        <v>92</v>
      </c>
      <c r="D3" s="148" t="s">
        <v>156</v>
      </c>
      <c r="E3" s="148" t="s">
        <v>157</v>
      </c>
      <c r="F3" s="148" t="s">
        <v>94</v>
      </c>
      <c r="G3" s="147" t="s">
        <v>158</v>
      </c>
      <c r="H3" s="149" t="s">
        <v>159</v>
      </c>
      <c r="I3" s="149" t="s">
        <v>160</v>
      </c>
      <c r="J3" s="150" t="s">
        <v>161</v>
      </c>
      <c r="K3" s="151" t="s">
        <v>162</v>
      </c>
      <c r="L3" s="151" t="s">
        <v>163</v>
      </c>
      <c r="M3" s="152" t="s">
        <v>164</v>
      </c>
      <c r="N3" s="152" t="s">
        <v>165</v>
      </c>
      <c r="O3" s="152" t="s">
        <v>166</v>
      </c>
      <c r="P3" s="153" t="s">
        <v>167</v>
      </c>
      <c r="Q3" s="155" t="s">
        <v>231</v>
      </c>
      <c r="R3" s="156" t="s">
        <v>232</v>
      </c>
      <c r="S3" s="156" t="s">
        <v>233</v>
      </c>
      <c r="T3" s="156"/>
      <c r="U3" s="156"/>
      <c r="V3" s="156"/>
      <c r="W3" s="156"/>
      <c r="X3" s="156"/>
      <c r="Y3" s="156"/>
      <c r="Z3" s="156"/>
      <c r="AA3" s="157"/>
      <c r="AB3" s="158"/>
      <c r="AC3" s="159"/>
    </row>
    <row r="4" spans="1:29" s="258" customFormat="1" ht="98.1" customHeight="1" x14ac:dyDescent="0.3">
      <c r="A4" s="244" t="s">
        <v>186</v>
      </c>
      <c r="B4" s="244" t="s">
        <v>234</v>
      </c>
      <c r="C4" s="244">
        <v>36368</v>
      </c>
      <c r="D4" s="245" t="s">
        <v>131</v>
      </c>
      <c r="E4" s="245" t="s">
        <v>235</v>
      </c>
      <c r="F4" s="246" t="s">
        <v>110</v>
      </c>
      <c r="G4" s="247" t="s">
        <v>108</v>
      </c>
      <c r="H4" s="248" t="s">
        <v>107</v>
      </c>
      <c r="I4" s="248" t="s">
        <v>107</v>
      </c>
      <c r="J4" s="249">
        <v>0.6</v>
      </c>
      <c r="K4" s="250">
        <v>0.3</v>
      </c>
      <c r="L4" s="250">
        <v>0.1</v>
      </c>
      <c r="M4" s="250">
        <v>0.6</v>
      </c>
      <c r="N4" s="250">
        <v>0.6</v>
      </c>
      <c r="O4" s="250">
        <v>0.6</v>
      </c>
      <c r="P4" s="251">
        <v>2054</v>
      </c>
      <c r="Q4" s="252">
        <v>2031</v>
      </c>
      <c r="R4" s="253">
        <v>2034</v>
      </c>
      <c r="S4" s="254">
        <v>18373000</v>
      </c>
      <c r="T4" s="253"/>
      <c r="U4" s="253"/>
      <c r="V4" s="253"/>
      <c r="W4" s="253"/>
      <c r="X4" s="253"/>
      <c r="Y4" s="253"/>
      <c r="Z4" s="253"/>
      <c r="AA4" s="255"/>
      <c r="AB4" s="256"/>
      <c r="AC4" s="257"/>
    </row>
    <row r="6" spans="1:29" x14ac:dyDescent="0.3">
      <c r="A6" t="s">
        <v>236</v>
      </c>
    </row>
    <row r="7" spans="1:29" ht="43.2" x14ac:dyDescent="0.3">
      <c r="A7" s="259" t="s">
        <v>237</v>
      </c>
      <c r="B7" s="260" t="s">
        <v>238</v>
      </c>
      <c r="C7" s="261" t="s">
        <v>239</v>
      </c>
      <c r="D7" s="262">
        <v>13123527.528387494</v>
      </c>
      <c r="E7" s="263"/>
      <c r="F7" s="264"/>
      <c r="G7" s="265"/>
    </row>
    <row r="8" spans="1:29" x14ac:dyDescent="0.3">
      <c r="A8" s="266"/>
      <c r="B8" s="267" t="s">
        <v>240</v>
      </c>
      <c r="C8" s="268"/>
      <c r="D8" s="269"/>
      <c r="E8" s="270">
        <v>0.4</v>
      </c>
      <c r="F8" s="271">
        <v>5249411.0113549996</v>
      </c>
      <c r="G8" s="272"/>
    </row>
    <row r="9" spans="1:29" ht="17.399999999999999" x14ac:dyDescent="0.3">
      <c r="A9" s="266"/>
      <c r="B9" s="273" t="s">
        <v>241</v>
      </c>
      <c r="C9" s="274"/>
      <c r="D9" s="269"/>
      <c r="E9" s="275"/>
      <c r="F9" s="264"/>
      <c r="G9" s="254">
        <v>18373000</v>
      </c>
    </row>
  </sheetData>
  <sheetProtection algorithmName="SHA-512" hashValue="J8vvCaY4SB+pMt1qpNxE9voIF7RqwdQA8a4IbV2+XKG69eFK41Q6U/EcwWsSLSAquwLM0with9Ql7j1bxGvgTg==" saltValue="11wtWRlVATNz+DzONm5V8A=="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E4578-B0EA-4DC1-AF33-7CC3F7B82D85}">
  <sheetPr>
    <tabColor theme="5" tint="0.59999389629810485"/>
  </sheetPr>
  <dimension ref="A1:AD36"/>
  <sheetViews>
    <sheetView tabSelected="1" workbookViewId="0">
      <selection activeCell="U8" sqref="U8"/>
    </sheetView>
  </sheetViews>
  <sheetFormatPr defaultRowHeight="14.4" x14ac:dyDescent="0.3"/>
  <cols>
    <col min="1" max="1" width="12" customWidth="1"/>
    <col min="2" max="2" width="11.109375" customWidth="1"/>
    <col min="3" max="3" width="9.88671875" customWidth="1"/>
    <col min="4" max="4" width="35.5546875" style="144" customWidth="1"/>
    <col min="5" max="5" width="56.88671875" style="144" hidden="1" customWidth="1"/>
    <col min="6" max="6" width="11.33203125" style="144" hidden="1" customWidth="1"/>
    <col min="7" max="8" width="0" hidden="1" customWidth="1"/>
    <col min="9" max="9" width="9.44140625" hidden="1" customWidth="1"/>
    <col min="17" max="17" width="25.5546875" customWidth="1"/>
    <col min="18" max="29" width="11.44140625" customWidth="1"/>
    <col min="30" max="30" width="19.5546875" style="144" customWidth="1"/>
  </cols>
  <sheetData>
    <row r="1" spans="1:30" x14ac:dyDescent="0.3">
      <c r="A1" s="341"/>
      <c r="B1" s="341"/>
      <c r="C1" s="341"/>
      <c r="D1" s="341"/>
      <c r="E1" s="341"/>
    </row>
    <row r="2" spans="1:30" x14ac:dyDescent="0.3">
      <c r="A2" s="341" t="s">
        <v>150</v>
      </c>
      <c r="B2" s="341"/>
      <c r="C2" s="341"/>
      <c r="D2" s="341"/>
      <c r="E2" s="341"/>
    </row>
    <row r="3" spans="1:30" x14ac:dyDescent="0.3">
      <c r="A3" s="341" t="s">
        <v>151</v>
      </c>
      <c r="B3" s="341"/>
      <c r="C3" s="341"/>
      <c r="D3" s="341"/>
      <c r="E3" s="341"/>
    </row>
    <row r="4" spans="1:30" x14ac:dyDescent="0.3">
      <c r="A4" s="341" t="s">
        <v>152</v>
      </c>
      <c r="B4" s="341"/>
      <c r="C4" s="341"/>
      <c r="D4" s="341"/>
      <c r="E4" s="341"/>
    </row>
    <row r="5" spans="1:30" ht="15" thickBot="1" x14ac:dyDescent="0.35"/>
    <row r="6" spans="1:30" ht="16.2" thickBot="1" x14ac:dyDescent="0.35">
      <c r="J6" s="342" t="s">
        <v>153</v>
      </c>
      <c r="K6" s="343"/>
      <c r="L6" s="343"/>
      <c r="M6" s="343"/>
      <c r="N6" s="343"/>
      <c r="O6" s="343"/>
      <c r="P6" s="343"/>
      <c r="Q6" s="145" t="s">
        <v>154</v>
      </c>
      <c r="R6" s="339" t="s">
        <v>155</v>
      </c>
      <c r="S6" s="339"/>
      <c r="T6" s="339"/>
      <c r="U6" s="339"/>
      <c r="V6" s="339"/>
      <c r="W6" s="339"/>
      <c r="X6" s="339"/>
      <c r="Y6" s="339"/>
      <c r="Z6" s="339"/>
      <c r="AA6" s="339"/>
      <c r="AB6" s="339"/>
      <c r="AC6" s="340"/>
      <c r="AD6" s="146"/>
    </row>
    <row r="7" spans="1:30" s="160" customFormat="1" ht="100.8" x14ac:dyDescent="0.3">
      <c r="A7" s="147" t="s">
        <v>90</v>
      </c>
      <c r="B7" s="148" t="s">
        <v>91</v>
      </c>
      <c r="C7" s="148" t="s">
        <v>92</v>
      </c>
      <c r="D7" s="148" t="s">
        <v>156</v>
      </c>
      <c r="E7" s="148" t="s">
        <v>157</v>
      </c>
      <c r="F7" s="148" t="s">
        <v>94</v>
      </c>
      <c r="G7" s="147" t="s">
        <v>158</v>
      </c>
      <c r="H7" s="149" t="s">
        <v>159</v>
      </c>
      <c r="I7" s="149" t="s">
        <v>160</v>
      </c>
      <c r="J7" s="150" t="s">
        <v>161</v>
      </c>
      <c r="K7" s="151" t="s">
        <v>162</v>
      </c>
      <c r="L7" s="151" t="s">
        <v>163</v>
      </c>
      <c r="M7" s="152" t="s">
        <v>164</v>
      </c>
      <c r="N7" s="152" t="s">
        <v>165</v>
      </c>
      <c r="O7" s="152" t="s">
        <v>166</v>
      </c>
      <c r="P7" s="153" t="s">
        <v>167</v>
      </c>
      <c r="Q7" s="154" t="s">
        <v>154</v>
      </c>
      <c r="R7" s="155" t="s">
        <v>168</v>
      </c>
      <c r="S7" s="156" t="s">
        <v>169</v>
      </c>
      <c r="T7" s="156" t="s">
        <v>170</v>
      </c>
      <c r="U7" s="156" t="s">
        <v>171</v>
      </c>
      <c r="V7" s="156" t="s">
        <v>172</v>
      </c>
      <c r="W7" s="156" t="s">
        <v>173</v>
      </c>
      <c r="X7" s="156" t="s">
        <v>174</v>
      </c>
      <c r="Y7" s="156" t="s">
        <v>175</v>
      </c>
      <c r="Z7" s="156" t="s">
        <v>176</v>
      </c>
      <c r="AA7" s="156" t="s">
        <v>177</v>
      </c>
      <c r="AB7" s="157" t="s">
        <v>178</v>
      </c>
      <c r="AC7" s="158" t="s">
        <v>179</v>
      </c>
      <c r="AD7" s="159" t="s">
        <v>180</v>
      </c>
    </row>
    <row r="8" spans="1:30" ht="82.8" x14ac:dyDescent="0.3">
      <c r="A8" s="244" t="s">
        <v>181</v>
      </c>
      <c r="B8" s="244" t="s">
        <v>182</v>
      </c>
      <c r="C8" s="244">
        <v>27311</v>
      </c>
      <c r="D8" s="245" t="s">
        <v>183</v>
      </c>
      <c r="E8" s="245" t="s">
        <v>184</v>
      </c>
      <c r="F8" s="276" t="s">
        <v>110</v>
      </c>
      <c r="G8" s="32" t="s">
        <v>108</v>
      </c>
      <c r="H8" s="277" t="s">
        <v>108</v>
      </c>
      <c r="I8" s="277" t="s">
        <v>107</v>
      </c>
      <c r="J8" s="278">
        <v>1</v>
      </c>
      <c r="K8" s="279">
        <v>0</v>
      </c>
      <c r="L8" s="279">
        <v>0</v>
      </c>
      <c r="M8" s="279">
        <v>0.95</v>
      </c>
      <c r="N8" s="279">
        <v>0.95</v>
      </c>
      <c r="O8" s="279">
        <v>0.95</v>
      </c>
      <c r="P8" s="280">
        <v>2054</v>
      </c>
      <c r="Q8" s="281" t="s">
        <v>185</v>
      </c>
      <c r="R8" s="282">
        <v>0</v>
      </c>
      <c r="S8" s="283">
        <v>0</v>
      </c>
      <c r="T8" s="283">
        <v>0</v>
      </c>
      <c r="U8" s="283">
        <v>0</v>
      </c>
      <c r="V8" s="283">
        <v>0</v>
      </c>
      <c r="W8" s="283">
        <v>0</v>
      </c>
      <c r="X8" s="283">
        <v>0</v>
      </c>
      <c r="Y8" s="283">
        <v>0</v>
      </c>
      <c r="Z8" s="283">
        <v>0</v>
      </c>
      <c r="AA8" s="283">
        <v>0</v>
      </c>
      <c r="AB8" s="284">
        <v>20446000</v>
      </c>
      <c r="AC8" s="285">
        <v>0</v>
      </c>
      <c r="AD8" s="286"/>
    </row>
    <row r="9" spans="1:30" ht="86.4" x14ac:dyDescent="0.3">
      <c r="A9" s="244" t="s">
        <v>186</v>
      </c>
      <c r="B9" s="244" t="s">
        <v>187</v>
      </c>
      <c r="C9" s="244">
        <v>32114</v>
      </c>
      <c r="D9" s="245" t="s">
        <v>188</v>
      </c>
      <c r="E9" s="245" t="s">
        <v>189</v>
      </c>
      <c r="F9" s="276" t="s">
        <v>110</v>
      </c>
      <c r="G9" s="32" t="s">
        <v>108</v>
      </c>
      <c r="H9" s="277" t="s">
        <v>107</v>
      </c>
      <c r="I9" s="277" t="s">
        <v>107</v>
      </c>
      <c r="J9" s="278">
        <v>0.6</v>
      </c>
      <c r="K9" s="279">
        <v>0.4</v>
      </c>
      <c r="L9" s="279">
        <v>0</v>
      </c>
      <c r="M9" s="279">
        <v>0.6</v>
      </c>
      <c r="N9" s="279">
        <v>0.6</v>
      </c>
      <c r="O9" s="279">
        <v>0.6</v>
      </c>
      <c r="P9" s="287">
        <v>2054</v>
      </c>
      <c r="Q9" s="288" t="s">
        <v>190</v>
      </c>
      <c r="R9" s="289">
        <v>2000000</v>
      </c>
      <c r="S9" s="290">
        <v>1200000</v>
      </c>
      <c r="T9" s="290">
        <v>243050</v>
      </c>
      <c r="U9" s="290">
        <v>0</v>
      </c>
      <c r="V9" s="290">
        <v>0</v>
      </c>
      <c r="W9" s="290">
        <v>0</v>
      </c>
      <c r="X9" s="290">
        <v>0</v>
      </c>
      <c r="Y9" s="290">
        <v>0</v>
      </c>
      <c r="Z9" s="290">
        <v>0</v>
      </c>
      <c r="AA9" s="290">
        <v>0</v>
      </c>
      <c r="AB9" s="291">
        <f t="shared" ref="AB9:AB20" si="0">SUM(R9:AA9)</f>
        <v>3443050</v>
      </c>
      <c r="AC9" s="292">
        <v>300000</v>
      </c>
      <c r="AD9" s="293" t="s">
        <v>191</v>
      </c>
    </row>
    <row r="10" spans="1:30" ht="28.8" x14ac:dyDescent="0.3">
      <c r="A10" s="244" t="s">
        <v>192</v>
      </c>
      <c r="B10" s="244" t="s">
        <v>193</v>
      </c>
      <c r="C10" s="244">
        <v>15279</v>
      </c>
      <c r="D10" s="245" t="s">
        <v>194</v>
      </c>
      <c r="E10" s="245" t="s">
        <v>195</v>
      </c>
      <c r="G10" s="294" t="s">
        <v>107</v>
      </c>
      <c r="H10" s="295" t="s">
        <v>108</v>
      </c>
      <c r="I10" s="277" t="s">
        <v>107</v>
      </c>
      <c r="J10" s="240">
        <v>0</v>
      </c>
      <c r="K10" s="296">
        <v>0.1</v>
      </c>
      <c r="L10" s="296">
        <v>0.9</v>
      </c>
      <c r="M10" s="240">
        <v>0</v>
      </c>
      <c r="N10" s="240">
        <v>0</v>
      </c>
      <c r="O10" s="297">
        <v>0.3</v>
      </c>
      <c r="P10" s="298">
        <v>2054</v>
      </c>
      <c r="Q10" s="299"/>
      <c r="R10" s="282">
        <v>0</v>
      </c>
      <c r="S10" s="283">
        <v>0</v>
      </c>
      <c r="T10" s="283">
        <v>0</v>
      </c>
      <c r="U10" s="283">
        <v>0</v>
      </c>
      <c r="V10" s="283">
        <v>4420000</v>
      </c>
      <c r="W10" s="283">
        <v>4420000</v>
      </c>
      <c r="X10" s="283">
        <v>0</v>
      </c>
      <c r="Y10" s="283">
        <v>0</v>
      </c>
      <c r="Z10" s="283">
        <v>0</v>
      </c>
      <c r="AA10" s="283">
        <v>0</v>
      </c>
      <c r="AB10" s="291">
        <f t="shared" si="0"/>
        <v>8840000</v>
      </c>
      <c r="AC10" s="285">
        <v>566930</v>
      </c>
      <c r="AD10" s="286" t="s">
        <v>277</v>
      </c>
    </row>
    <row r="11" spans="1:30" ht="86.4" x14ac:dyDescent="0.3">
      <c r="A11" s="244" t="s">
        <v>186</v>
      </c>
      <c r="B11" s="244" t="s">
        <v>196</v>
      </c>
      <c r="C11" s="244">
        <v>33249</v>
      </c>
      <c r="D11" s="245" t="s">
        <v>197</v>
      </c>
      <c r="E11" s="245" t="s">
        <v>198</v>
      </c>
      <c r="F11" s="294" t="s">
        <v>110</v>
      </c>
      <c r="G11" s="32" t="s">
        <v>107</v>
      </c>
      <c r="H11" s="277" t="s">
        <v>107</v>
      </c>
      <c r="I11" s="277" t="s">
        <v>107</v>
      </c>
      <c r="J11" s="300">
        <v>0.8</v>
      </c>
      <c r="K11" s="296">
        <v>9.9999999999999978E-2</v>
      </c>
      <c r="L11" s="296">
        <v>0.1</v>
      </c>
      <c r="M11" s="296">
        <v>0.8</v>
      </c>
      <c r="N11" s="296">
        <v>0.8</v>
      </c>
      <c r="O11" s="297">
        <v>0.8</v>
      </c>
      <c r="P11" s="298">
        <v>2054</v>
      </c>
      <c r="Q11" s="299"/>
      <c r="R11" s="301">
        <v>0</v>
      </c>
      <c r="S11" s="283">
        <v>0</v>
      </c>
      <c r="T11" s="283">
        <v>0</v>
      </c>
      <c r="U11" s="283">
        <v>0</v>
      </c>
      <c r="V11" s="283">
        <v>0</v>
      </c>
      <c r="W11" s="283">
        <v>0</v>
      </c>
      <c r="X11" s="283">
        <v>0</v>
      </c>
      <c r="Y11" s="283">
        <v>0</v>
      </c>
      <c r="Z11" s="283">
        <v>0</v>
      </c>
      <c r="AA11" s="283">
        <v>0</v>
      </c>
      <c r="AB11" s="302">
        <f t="shared" si="0"/>
        <v>0</v>
      </c>
      <c r="AC11" s="303">
        <v>53460</v>
      </c>
      <c r="AD11" s="304" t="s">
        <v>199</v>
      </c>
    </row>
    <row r="12" spans="1:30" ht="86.4" x14ac:dyDescent="0.3">
      <c r="A12" s="244"/>
      <c r="B12" s="244"/>
      <c r="C12" s="244"/>
      <c r="D12" s="245" t="s">
        <v>197</v>
      </c>
      <c r="E12" s="245" t="s">
        <v>198</v>
      </c>
      <c r="F12" s="276" t="s">
        <v>110</v>
      </c>
      <c r="G12" s="32" t="s">
        <v>107</v>
      </c>
      <c r="H12" s="277" t="s">
        <v>200</v>
      </c>
      <c r="I12" s="277" t="s">
        <v>107</v>
      </c>
      <c r="J12" s="300">
        <v>0.8</v>
      </c>
      <c r="K12" s="296">
        <v>9.9999999999999978E-2</v>
      </c>
      <c r="L12" s="296">
        <v>0.1</v>
      </c>
      <c r="M12" s="296">
        <v>0.8</v>
      </c>
      <c r="N12" s="296">
        <v>0.8</v>
      </c>
      <c r="O12" s="297">
        <v>0.8</v>
      </c>
      <c r="P12" s="298">
        <v>2054</v>
      </c>
      <c r="Q12" s="299"/>
      <c r="R12" s="282">
        <v>0</v>
      </c>
      <c r="S12" s="283">
        <v>0</v>
      </c>
      <c r="T12" s="283">
        <v>0</v>
      </c>
      <c r="U12" s="283">
        <v>0</v>
      </c>
      <c r="V12" s="283">
        <v>0</v>
      </c>
      <c r="W12" s="283">
        <v>0</v>
      </c>
      <c r="X12" s="283">
        <v>0</v>
      </c>
      <c r="Y12" s="283">
        <v>0</v>
      </c>
      <c r="Z12" s="283">
        <v>0</v>
      </c>
      <c r="AA12" s="283">
        <v>0</v>
      </c>
      <c r="AB12" s="302">
        <f t="shared" si="0"/>
        <v>0</v>
      </c>
      <c r="AC12" s="305"/>
      <c r="AD12" s="304" t="s">
        <v>199</v>
      </c>
    </row>
    <row r="13" spans="1:30" ht="72" x14ac:dyDescent="0.3">
      <c r="A13" s="244" t="s">
        <v>186</v>
      </c>
      <c r="B13" s="244" t="s">
        <v>201</v>
      </c>
      <c r="C13" s="244">
        <v>28281</v>
      </c>
      <c r="D13" s="245" t="s">
        <v>202</v>
      </c>
      <c r="E13" s="245" t="s">
        <v>203</v>
      </c>
      <c r="F13" s="276" t="s">
        <v>110</v>
      </c>
      <c r="G13" s="32" t="s">
        <v>107</v>
      </c>
      <c r="H13" s="277" t="s">
        <v>108</v>
      </c>
      <c r="I13" s="277" t="s">
        <v>107</v>
      </c>
      <c r="J13" s="300">
        <v>0.5</v>
      </c>
      <c r="K13" s="296">
        <v>0.4</v>
      </c>
      <c r="L13" s="296">
        <v>0.1</v>
      </c>
      <c r="M13" s="296">
        <v>0.5</v>
      </c>
      <c r="N13" s="296">
        <v>0.5</v>
      </c>
      <c r="O13" s="297">
        <v>0.5</v>
      </c>
      <c r="P13" s="298">
        <v>2054</v>
      </c>
      <c r="Q13" s="299"/>
      <c r="R13" s="282">
        <v>0</v>
      </c>
      <c r="S13" s="283">
        <v>0</v>
      </c>
      <c r="T13" s="283">
        <v>1049000</v>
      </c>
      <c r="U13" s="283">
        <v>0</v>
      </c>
      <c r="V13" s="283">
        <v>0</v>
      </c>
      <c r="W13" s="283">
        <v>0</v>
      </c>
      <c r="X13" s="283">
        <v>0</v>
      </c>
      <c r="Y13" s="283">
        <v>0</v>
      </c>
      <c r="Z13" s="283">
        <v>0</v>
      </c>
      <c r="AA13" s="283">
        <v>0</v>
      </c>
      <c r="AB13" s="302">
        <f t="shared" si="0"/>
        <v>1049000</v>
      </c>
      <c r="AC13" s="303">
        <v>16370</v>
      </c>
      <c r="AD13" s="306"/>
    </row>
    <row r="14" spans="1:30" x14ac:dyDescent="0.3">
      <c r="A14" s="307" t="s">
        <v>204</v>
      </c>
      <c r="B14" s="308" t="s">
        <v>205</v>
      </c>
      <c r="C14" s="307">
        <v>28223</v>
      </c>
      <c r="D14" s="309" t="s">
        <v>206</v>
      </c>
      <c r="E14" s="309" t="s">
        <v>207</v>
      </c>
      <c r="F14" s="310" t="s">
        <v>208</v>
      </c>
      <c r="G14" s="311" t="s">
        <v>107</v>
      </c>
      <c r="H14" s="312" t="s">
        <v>108</v>
      </c>
      <c r="I14" s="277" t="s">
        <v>107</v>
      </c>
      <c r="J14" s="313">
        <v>1</v>
      </c>
      <c r="K14" s="314">
        <v>0</v>
      </c>
      <c r="L14" s="314">
        <v>0</v>
      </c>
      <c r="M14" s="314">
        <v>1</v>
      </c>
      <c r="N14" s="314">
        <v>1</v>
      </c>
      <c r="O14" s="315">
        <v>1</v>
      </c>
      <c r="P14" s="316">
        <v>2054</v>
      </c>
      <c r="Q14" s="299"/>
      <c r="R14" s="282">
        <v>0</v>
      </c>
      <c r="S14" s="283">
        <v>0</v>
      </c>
      <c r="T14" s="283">
        <v>0</v>
      </c>
      <c r="U14" s="283">
        <v>0</v>
      </c>
      <c r="V14" s="283">
        <v>0</v>
      </c>
      <c r="W14" s="283">
        <v>0</v>
      </c>
      <c r="X14" s="283">
        <v>0</v>
      </c>
      <c r="Y14" s="283">
        <v>0</v>
      </c>
      <c r="Z14" s="283">
        <v>0</v>
      </c>
      <c r="AA14" s="283">
        <v>0</v>
      </c>
      <c r="AB14" s="302">
        <f t="shared" si="0"/>
        <v>0</v>
      </c>
      <c r="AC14" s="317">
        <v>1140000</v>
      </c>
      <c r="AD14" s="286"/>
    </row>
    <row r="15" spans="1:30" ht="57.6" x14ac:dyDescent="0.3">
      <c r="A15" s="244" t="s">
        <v>186</v>
      </c>
      <c r="B15" s="244" t="s">
        <v>209</v>
      </c>
      <c r="C15" s="244">
        <v>26559</v>
      </c>
      <c r="D15" s="245" t="s">
        <v>210</v>
      </c>
      <c r="E15" s="245" t="s">
        <v>211</v>
      </c>
      <c r="F15" s="276" t="s">
        <v>208</v>
      </c>
      <c r="G15" s="32" t="s">
        <v>107</v>
      </c>
      <c r="H15" s="277" t="s">
        <v>108</v>
      </c>
      <c r="I15" s="277" t="s">
        <v>107</v>
      </c>
      <c r="J15" s="300">
        <v>0.9</v>
      </c>
      <c r="K15" s="296">
        <v>9.9999999999999978E-2</v>
      </c>
      <c r="L15" s="296">
        <v>0</v>
      </c>
      <c r="M15" s="296">
        <v>0.9</v>
      </c>
      <c r="N15" s="296">
        <v>0.9</v>
      </c>
      <c r="O15" s="297">
        <v>0.9</v>
      </c>
      <c r="P15" s="298">
        <v>2054</v>
      </c>
      <c r="Q15" s="299"/>
      <c r="R15" s="282">
        <v>0</v>
      </c>
      <c r="S15" s="283">
        <v>0</v>
      </c>
      <c r="T15" s="283">
        <v>0</v>
      </c>
      <c r="U15" s="283">
        <v>0</v>
      </c>
      <c r="V15" s="283">
        <v>0</v>
      </c>
      <c r="W15" s="283">
        <v>0</v>
      </c>
      <c r="X15" s="283">
        <v>0</v>
      </c>
      <c r="Y15" s="283">
        <v>0</v>
      </c>
      <c r="Z15" s="283">
        <v>0</v>
      </c>
      <c r="AA15" s="283">
        <v>0</v>
      </c>
      <c r="AB15" s="302">
        <f t="shared" si="0"/>
        <v>0</v>
      </c>
      <c r="AC15" s="317">
        <v>4194340</v>
      </c>
      <c r="AD15" s="286"/>
    </row>
    <row r="16" spans="1:30" ht="158.4" x14ac:dyDescent="0.3">
      <c r="A16" s="244" t="s">
        <v>186</v>
      </c>
      <c r="B16" s="244" t="s">
        <v>212</v>
      </c>
      <c r="C16" s="244">
        <v>13051</v>
      </c>
      <c r="D16" s="245" t="s">
        <v>213</v>
      </c>
      <c r="E16" s="245" t="s">
        <v>214</v>
      </c>
      <c r="F16" s="276" t="s">
        <v>208</v>
      </c>
      <c r="G16" s="32" t="s">
        <v>107</v>
      </c>
      <c r="H16" s="277" t="s">
        <v>108</v>
      </c>
      <c r="I16" s="277" t="s">
        <v>107</v>
      </c>
      <c r="J16" s="300">
        <v>0.85</v>
      </c>
      <c r="K16" s="296">
        <v>0.15</v>
      </c>
      <c r="L16" s="296">
        <v>0</v>
      </c>
      <c r="M16" s="296">
        <v>0.85</v>
      </c>
      <c r="N16" s="296">
        <v>0.85</v>
      </c>
      <c r="O16" s="297">
        <v>0.85</v>
      </c>
      <c r="P16" s="298">
        <v>2054</v>
      </c>
      <c r="Q16" s="299"/>
      <c r="R16" s="282">
        <v>0</v>
      </c>
      <c r="S16" s="283">
        <v>0</v>
      </c>
      <c r="T16" s="283">
        <v>0</v>
      </c>
      <c r="U16" s="283">
        <v>0</v>
      </c>
      <c r="V16" s="283">
        <v>0</v>
      </c>
      <c r="W16" s="283">
        <v>0</v>
      </c>
      <c r="X16" s="283">
        <v>0</v>
      </c>
      <c r="Y16" s="283">
        <v>0</v>
      </c>
      <c r="Z16" s="283">
        <v>0</v>
      </c>
      <c r="AA16" s="283">
        <v>0</v>
      </c>
      <c r="AB16" s="302">
        <f t="shared" si="0"/>
        <v>0</v>
      </c>
      <c r="AC16" s="317">
        <v>4146970</v>
      </c>
      <c r="AD16" s="286"/>
    </row>
    <row r="17" spans="1:30" ht="72" x14ac:dyDescent="0.3">
      <c r="A17" s="318" t="s">
        <v>186</v>
      </c>
      <c r="B17" s="318" t="s">
        <v>215</v>
      </c>
      <c r="C17" s="318">
        <v>28405</v>
      </c>
      <c r="D17" s="319" t="s">
        <v>216</v>
      </c>
      <c r="E17" s="319" t="s">
        <v>217</v>
      </c>
      <c r="F17" s="320" t="s">
        <v>208</v>
      </c>
      <c r="G17" s="321" t="s">
        <v>107</v>
      </c>
      <c r="H17" s="322" t="s">
        <v>108</v>
      </c>
      <c r="I17" s="277" t="s">
        <v>107</v>
      </c>
      <c r="J17" s="323">
        <v>0.85</v>
      </c>
      <c r="K17" s="324">
        <v>0.15</v>
      </c>
      <c r="L17" s="324">
        <v>0</v>
      </c>
      <c r="M17" s="324">
        <v>0.85</v>
      </c>
      <c r="N17" s="324">
        <v>0.85</v>
      </c>
      <c r="O17" s="325">
        <v>0.85</v>
      </c>
      <c r="P17" s="326">
        <v>2054</v>
      </c>
      <c r="Q17" s="299"/>
      <c r="R17" s="282">
        <v>0</v>
      </c>
      <c r="S17" s="283">
        <v>0</v>
      </c>
      <c r="T17" s="283">
        <v>0</v>
      </c>
      <c r="U17" s="283">
        <v>0</v>
      </c>
      <c r="V17" s="283">
        <v>0</v>
      </c>
      <c r="W17" s="283">
        <v>0</v>
      </c>
      <c r="X17" s="283">
        <v>0</v>
      </c>
      <c r="Y17" s="283">
        <v>0</v>
      </c>
      <c r="Z17" s="283">
        <v>0</v>
      </c>
      <c r="AA17" s="283">
        <v>0</v>
      </c>
      <c r="AB17" s="302">
        <f t="shared" si="0"/>
        <v>0</v>
      </c>
      <c r="AC17" s="317">
        <v>2234910</v>
      </c>
      <c r="AD17" s="286"/>
    </row>
    <row r="18" spans="1:30" ht="57.6" x14ac:dyDescent="0.3">
      <c r="A18" s="244" t="s">
        <v>218</v>
      </c>
      <c r="B18" s="244" t="s">
        <v>219</v>
      </c>
      <c r="C18" s="244">
        <v>25166</v>
      </c>
      <c r="D18" s="245" t="s">
        <v>220</v>
      </c>
      <c r="E18" s="245" t="s">
        <v>221</v>
      </c>
      <c r="F18" s="276" t="s">
        <v>208</v>
      </c>
      <c r="G18" s="32" t="s">
        <v>107</v>
      </c>
      <c r="H18" s="277" t="s">
        <v>108</v>
      </c>
      <c r="I18" s="277" t="s">
        <v>107</v>
      </c>
      <c r="J18" s="300">
        <v>0.3</v>
      </c>
      <c r="K18" s="296">
        <v>0.7</v>
      </c>
      <c r="L18" s="296">
        <v>0</v>
      </c>
      <c r="M18" s="296">
        <v>0.3</v>
      </c>
      <c r="N18" s="296">
        <v>0.3</v>
      </c>
      <c r="O18" s="297">
        <v>0.3</v>
      </c>
      <c r="P18" s="298">
        <v>2054</v>
      </c>
      <c r="Q18" s="299"/>
      <c r="R18" s="282">
        <v>0</v>
      </c>
      <c r="S18" s="283">
        <v>0</v>
      </c>
      <c r="T18" s="283">
        <v>0</v>
      </c>
      <c r="U18" s="283">
        <v>0</v>
      </c>
      <c r="V18" s="283">
        <v>0</v>
      </c>
      <c r="W18" s="283">
        <v>0</v>
      </c>
      <c r="X18" s="283">
        <v>0</v>
      </c>
      <c r="Y18" s="283">
        <v>0</v>
      </c>
      <c r="Z18" s="283">
        <v>0</v>
      </c>
      <c r="AA18" s="283">
        <v>0</v>
      </c>
      <c r="AB18" s="302">
        <f t="shared" si="0"/>
        <v>0</v>
      </c>
      <c r="AC18" s="317">
        <v>1191684.9827934359</v>
      </c>
      <c r="AD18" s="286"/>
    </row>
    <row r="19" spans="1:30" ht="43.2" x14ac:dyDescent="0.3">
      <c r="A19" s="244" t="s">
        <v>186</v>
      </c>
      <c r="B19" s="244" t="s">
        <v>222</v>
      </c>
      <c r="C19" s="244">
        <v>32115</v>
      </c>
      <c r="D19" s="245" t="s">
        <v>223</v>
      </c>
      <c r="E19" s="245" t="s">
        <v>224</v>
      </c>
      <c r="F19" s="276" t="s">
        <v>110</v>
      </c>
      <c r="G19" s="32" t="s">
        <v>108</v>
      </c>
      <c r="H19" s="277" t="s">
        <v>107</v>
      </c>
      <c r="I19" s="277" t="s">
        <v>108</v>
      </c>
      <c r="J19" s="300">
        <v>0.5</v>
      </c>
      <c r="K19" s="296">
        <v>0.5</v>
      </c>
      <c r="L19" s="296">
        <v>0</v>
      </c>
      <c r="M19" s="296">
        <v>0.5</v>
      </c>
      <c r="N19" s="296">
        <v>0.5</v>
      </c>
      <c r="O19" s="297">
        <v>0.5</v>
      </c>
      <c r="P19" s="298">
        <v>2054</v>
      </c>
      <c r="Q19" s="299"/>
      <c r="R19" s="327">
        <v>0</v>
      </c>
      <c r="S19" s="328">
        <v>0</v>
      </c>
      <c r="T19" s="328">
        <v>0</v>
      </c>
      <c r="U19" s="328">
        <v>0</v>
      </c>
      <c r="V19" s="328">
        <v>0</v>
      </c>
      <c r="W19" s="328">
        <v>0</v>
      </c>
      <c r="X19" s="328">
        <v>0</v>
      </c>
      <c r="Y19" s="328">
        <v>0</v>
      </c>
      <c r="Z19" s="328">
        <v>0</v>
      </c>
      <c r="AA19" s="328">
        <v>0</v>
      </c>
      <c r="AB19" s="302">
        <f t="shared" si="0"/>
        <v>0</v>
      </c>
      <c r="AC19" s="329">
        <v>0</v>
      </c>
      <c r="AD19" s="293" t="s">
        <v>225</v>
      </c>
    </row>
    <row r="20" spans="1:30" ht="29.4" thickBot="1" x14ac:dyDescent="0.35">
      <c r="A20" s="244" t="s">
        <v>186</v>
      </c>
      <c r="B20" s="244" t="s">
        <v>226</v>
      </c>
      <c r="C20" s="244">
        <v>27720</v>
      </c>
      <c r="D20" s="245" t="s">
        <v>227</v>
      </c>
      <c r="E20" s="245" t="s">
        <v>228</v>
      </c>
      <c r="F20" s="276" t="s">
        <v>229</v>
      </c>
      <c r="G20" s="32" t="s">
        <v>108</v>
      </c>
      <c r="H20" s="277" t="s">
        <v>108</v>
      </c>
      <c r="I20" s="277" t="s">
        <v>108</v>
      </c>
      <c r="J20" s="330">
        <v>0.7</v>
      </c>
      <c r="K20" s="331">
        <v>0</v>
      </c>
      <c r="L20" s="331">
        <v>0.3</v>
      </c>
      <c r="M20" s="331">
        <v>0.7</v>
      </c>
      <c r="N20" s="331">
        <v>0.7</v>
      </c>
      <c r="O20" s="332">
        <v>0.7</v>
      </c>
      <c r="P20" s="333">
        <v>20524</v>
      </c>
      <c r="Q20" s="334"/>
      <c r="R20" s="335">
        <v>0</v>
      </c>
      <c r="S20" s="336">
        <v>0</v>
      </c>
      <c r="T20" s="336">
        <v>0</v>
      </c>
      <c r="U20" s="336">
        <v>0</v>
      </c>
      <c r="V20" s="336">
        <v>0</v>
      </c>
      <c r="W20" s="336">
        <v>0</v>
      </c>
      <c r="X20" s="336">
        <v>0</v>
      </c>
      <c r="Y20" s="336">
        <v>0</v>
      </c>
      <c r="Z20" s="336">
        <v>0</v>
      </c>
      <c r="AA20" s="336">
        <v>0</v>
      </c>
      <c r="AB20" s="302">
        <f t="shared" si="0"/>
        <v>0</v>
      </c>
      <c r="AC20" s="337">
        <v>0</v>
      </c>
      <c r="AD20" s="338" t="s">
        <v>230</v>
      </c>
    </row>
    <row r="21" spans="1:30" x14ac:dyDescent="0.3">
      <c r="D21" s="161"/>
    </row>
    <row r="22" spans="1:30" x14ac:dyDescent="0.3">
      <c r="D22" s="161"/>
    </row>
    <row r="23" spans="1:30" x14ac:dyDescent="0.3">
      <c r="D23" s="161"/>
    </row>
    <row r="34" spans="4:4" x14ac:dyDescent="0.3">
      <c r="D34" s="161"/>
    </row>
    <row r="35" spans="4:4" x14ac:dyDescent="0.3">
      <c r="D35" s="161"/>
    </row>
    <row r="36" spans="4:4" x14ac:dyDescent="0.3">
      <c r="D36" s="161"/>
    </row>
  </sheetData>
  <sheetProtection algorithmName="SHA-512" hashValue="P2i590zP6gUwmjRqHH53qviwzNeELEIw+EoG9gEonq+OY2t0cK0KleD2IxCkDd2Ti0896O7AVQcRa/Iop386+Q==" saltValue="w+u4v00+BmXQ7ON1BZYZWw==" spinCount="100000" sheet="1" objects="1" scenarios="1"/>
  <mergeCells count="6">
    <mergeCell ref="R6:AC6"/>
    <mergeCell ref="A1:E1"/>
    <mergeCell ref="A2:E2"/>
    <mergeCell ref="A3:E3"/>
    <mergeCell ref="A4:E4"/>
    <mergeCell ref="J6:P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B8CF4-1BA2-4A75-B6AE-45ED4EDF091D}">
  <sheetPr>
    <tabColor theme="9" tint="0.59999389629810485"/>
  </sheetPr>
  <dimension ref="A1:AN31"/>
  <sheetViews>
    <sheetView workbookViewId="0">
      <selection activeCell="C27" sqref="C27"/>
    </sheetView>
  </sheetViews>
  <sheetFormatPr defaultRowHeight="14.4" x14ac:dyDescent="0.3"/>
  <cols>
    <col min="1" max="1" width="23.109375" customWidth="1"/>
  </cols>
  <sheetData>
    <row r="1" spans="1:40"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x14ac:dyDescent="0.3">
      <c r="A4" s="140" t="s">
        <v>143</v>
      </c>
      <c r="B4" s="2"/>
      <c r="C4" s="2" t="s">
        <v>142</v>
      </c>
      <c r="D4" s="139">
        <v>2018</v>
      </c>
      <c r="E4" s="139">
        <v>2019</v>
      </c>
      <c r="F4" s="139">
        <v>2020</v>
      </c>
      <c r="G4" s="139">
        <v>2021</v>
      </c>
      <c r="H4" s="139">
        <v>2022</v>
      </c>
      <c r="I4" s="139">
        <v>2023</v>
      </c>
      <c r="J4" s="139">
        <v>2024</v>
      </c>
      <c r="K4" s="139">
        <v>2025</v>
      </c>
      <c r="L4" s="139">
        <v>2026</v>
      </c>
      <c r="M4" s="139">
        <v>2027</v>
      </c>
      <c r="N4" s="139">
        <v>2028</v>
      </c>
      <c r="O4" s="139">
        <v>2029</v>
      </c>
      <c r="P4" s="139">
        <v>2030</v>
      </c>
      <c r="Q4" s="139">
        <v>2031</v>
      </c>
      <c r="R4" s="139">
        <v>2032</v>
      </c>
      <c r="S4" s="139">
        <v>2033</v>
      </c>
      <c r="T4" s="139">
        <v>2034</v>
      </c>
      <c r="U4" s="139">
        <v>2035</v>
      </c>
      <c r="V4" s="139">
        <v>2036</v>
      </c>
      <c r="W4" s="139">
        <v>2037</v>
      </c>
      <c r="X4" s="139">
        <v>2038</v>
      </c>
      <c r="Y4" s="139">
        <v>2039</v>
      </c>
      <c r="Z4" s="139">
        <v>2040</v>
      </c>
      <c r="AA4" s="139">
        <v>2041</v>
      </c>
      <c r="AB4" s="139">
        <v>2042</v>
      </c>
      <c r="AC4" s="139">
        <v>2043</v>
      </c>
      <c r="AD4" s="139">
        <v>2044</v>
      </c>
      <c r="AE4" s="139">
        <v>2045</v>
      </c>
      <c r="AF4" s="139">
        <v>2046</v>
      </c>
      <c r="AG4" s="139">
        <v>2047</v>
      </c>
      <c r="AH4" s="139">
        <v>2048</v>
      </c>
      <c r="AI4" s="139">
        <v>2049</v>
      </c>
      <c r="AJ4" s="139">
        <v>2050</v>
      </c>
      <c r="AK4" s="139">
        <v>2051</v>
      </c>
      <c r="AL4" s="139">
        <v>2052</v>
      </c>
      <c r="AM4" s="139">
        <v>2053</v>
      </c>
      <c r="AN4" s="139">
        <v>2054</v>
      </c>
    </row>
    <row r="5" spans="1:40" x14ac:dyDescent="0.3">
      <c r="A5" s="2">
        <v>363</v>
      </c>
      <c r="B5" s="2"/>
      <c r="C5" s="5">
        <v>0</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x14ac:dyDescent="0.3">
      <c r="A6" s="2">
        <v>368</v>
      </c>
      <c r="B6" s="2"/>
      <c r="C6" s="5">
        <v>0.41</v>
      </c>
      <c r="D6" s="2">
        <v>651</v>
      </c>
      <c r="E6" s="2">
        <v>655</v>
      </c>
      <c r="F6" s="2">
        <v>659</v>
      </c>
      <c r="G6" s="2">
        <v>663</v>
      </c>
      <c r="H6" s="2">
        <v>667</v>
      </c>
      <c r="I6" s="2">
        <v>682</v>
      </c>
      <c r="J6" s="2">
        <v>698</v>
      </c>
      <c r="K6" s="2">
        <v>714</v>
      </c>
      <c r="L6" s="2">
        <v>730</v>
      </c>
      <c r="M6" s="2">
        <v>746</v>
      </c>
      <c r="N6" s="2">
        <v>761</v>
      </c>
      <c r="O6" s="2">
        <v>777</v>
      </c>
      <c r="P6" s="2">
        <v>793</v>
      </c>
      <c r="Q6" s="2">
        <v>810</v>
      </c>
      <c r="R6" s="2">
        <v>826</v>
      </c>
      <c r="S6" s="2">
        <v>832</v>
      </c>
      <c r="T6" s="2">
        <v>838</v>
      </c>
      <c r="U6" s="2">
        <v>843</v>
      </c>
      <c r="V6" s="2">
        <v>849</v>
      </c>
      <c r="W6" s="2">
        <v>855</v>
      </c>
      <c r="X6" s="2">
        <v>855</v>
      </c>
      <c r="Y6" s="2">
        <v>855</v>
      </c>
      <c r="Z6" s="2">
        <v>855</v>
      </c>
      <c r="AA6" s="2">
        <v>855</v>
      </c>
      <c r="AB6" s="2">
        <v>855</v>
      </c>
      <c r="AC6" s="2">
        <v>855</v>
      </c>
      <c r="AD6" s="2">
        <v>855</v>
      </c>
      <c r="AE6" s="2">
        <v>855</v>
      </c>
      <c r="AF6" s="2">
        <v>855</v>
      </c>
      <c r="AG6" s="2">
        <v>855</v>
      </c>
      <c r="AH6" s="2">
        <v>855</v>
      </c>
      <c r="AI6" s="2">
        <v>855</v>
      </c>
      <c r="AJ6" s="2">
        <v>855</v>
      </c>
      <c r="AK6" s="2">
        <v>855</v>
      </c>
      <c r="AL6" s="2">
        <v>855</v>
      </c>
      <c r="AM6" s="2">
        <v>855</v>
      </c>
      <c r="AN6" s="2">
        <v>855</v>
      </c>
    </row>
    <row r="7" spans="1:40" x14ac:dyDescent="0.3">
      <c r="A7" s="2">
        <v>374</v>
      </c>
      <c r="B7" s="2"/>
      <c r="C7" s="5">
        <v>1</v>
      </c>
      <c r="D7" s="2">
        <v>1119</v>
      </c>
      <c r="E7" s="2">
        <v>1119</v>
      </c>
      <c r="F7" s="2">
        <v>1119</v>
      </c>
      <c r="G7" s="2">
        <v>1119</v>
      </c>
      <c r="H7" s="2">
        <v>1119</v>
      </c>
      <c r="I7" s="2">
        <v>1122</v>
      </c>
      <c r="J7" s="2">
        <v>1125</v>
      </c>
      <c r="K7" s="2">
        <v>1127</v>
      </c>
      <c r="L7" s="2">
        <v>1130</v>
      </c>
      <c r="M7" s="2">
        <v>1133</v>
      </c>
      <c r="N7" s="2">
        <v>1136</v>
      </c>
      <c r="O7" s="2">
        <v>1138</v>
      </c>
      <c r="P7" s="2">
        <v>1141</v>
      </c>
      <c r="Q7" s="2">
        <v>1144</v>
      </c>
      <c r="R7" s="2">
        <v>1146</v>
      </c>
      <c r="S7" s="2">
        <v>1149</v>
      </c>
      <c r="T7" s="2">
        <v>1151</v>
      </c>
      <c r="U7" s="2">
        <v>1154</v>
      </c>
      <c r="V7" s="2">
        <v>1156</v>
      </c>
      <c r="W7" s="2">
        <v>1159</v>
      </c>
      <c r="X7" s="2">
        <v>1161</v>
      </c>
      <c r="Y7" s="2">
        <v>1163</v>
      </c>
      <c r="Z7" s="2">
        <v>1166</v>
      </c>
      <c r="AA7" s="2">
        <v>1168</v>
      </c>
      <c r="AB7" s="2">
        <v>1170</v>
      </c>
      <c r="AC7" s="2">
        <v>1173</v>
      </c>
      <c r="AD7" s="2">
        <v>1176</v>
      </c>
      <c r="AE7" s="2">
        <v>1179</v>
      </c>
      <c r="AF7" s="2">
        <v>1182</v>
      </c>
      <c r="AG7" s="2">
        <v>1185</v>
      </c>
      <c r="AH7" s="2">
        <v>1188</v>
      </c>
      <c r="AI7" s="2">
        <v>1191</v>
      </c>
      <c r="AJ7" s="2">
        <v>1194</v>
      </c>
      <c r="AK7" s="2">
        <v>1197</v>
      </c>
      <c r="AL7" s="2">
        <v>1199</v>
      </c>
      <c r="AM7" s="2">
        <v>1199</v>
      </c>
      <c r="AN7" s="2">
        <v>1199</v>
      </c>
    </row>
    <row r="8" spans="1:40" x14ac:dyDescent="0.3">
      <c r="A8" s="2">
        <v>375</v>
      </c>
      <c r="B8" s="2"/>
      <c r="C8" s="5">
        <v>1</v>
      </c>
      <c r="D8" s="2">
        <v>261</v>
      </c>
      <c r="E8" s="2">
        <v>261</v>
      </c>
      <c r="F8" s="2">
        <v>261</v>
      </c>
      <c r="G8" s="2">
        <v>261</v>
      </c>
      <c r="H8" s="2">
        <v>261</v>
      </c>
      <c r="I8" s="2">
        <v>296</v>
      </c>
      <c r="J8" s="2">
        <v>334</v>
      </c>
      <c r="K8" s="2">
        <v>378</v>
      </c>
      <c r="L8" s="2">
        <v>428</v>
      </c>
      <c r="M8" s="2">
        <v>484</v>
      </c>
      <c r="N8" s="2">
        <v>523</v>
      </c>
      <c r="O8" s="2">
        <v>565</v>
      </c>
      <c r="P8" s="2">
        <v>610</v>
      </c>
      <c r="Q8" s="2">
        <v>659</v>
      </c>
      <c r="R8" s="2">
        <v>711</v>
      </c>
      <c r="S8" s="2">
        <v>727</v>
      </c>
      <c r="T8" s="2">
        <v>743</v>
      </c>
      <c r="U8" s="2">
        <v>759</v>
      </c>
      <c r="V8" s="2">
        <v>775</v>
      </c>
      <c r="W8" s="2">
        <v>792</v>
      </c>
      <c r="X8" s="2">
        <v>792</v>
      </c>
      <c r="Y8" s="2">
        <v>792</v>
      </c>
      <c r="Z8" s="2">
        <v>792</v>
      </c>
      <c r="AA8" s="2">
        <v>792</v>
      </c>
      <c r="AB8" s="2">
        <v>792</v>
      </c>
      <c r="AC8" s="2">
        <v>792</v>
      </c>
      <c r="AD8" s="2">
        <v>792</v>
      </c>
      <c r="AE8" s="2">
        <v>792</v>
      </c>
      <c r="AF8" s="2">
        <v>792</v>
      </c>
      <c r="AG8" s="2">
        <v>792</v>
      </c>
      <c r="AH8" s="2">
        <v>792</v>
      </c>
      <c r="AI8" s="2">
        <v>792</v>
      </c>
      <c r="AJ8" s="2">
        <v>792</v>
      </c>
      <c r="AK8" s="2">
        <v>792</v>
      </c>
      <c r="AL8" s="2">
        <v>792</v>
      </c>
      <c r="AM8" s="2">
        <v>792</v>
      </c>
      <c r="AN8" s="2">
        <v>792</v>
      </c>
    </row>
    <row r="9" spans="1:40" x14ac:dyDescent="0.3">
      <c r="A9" s="2">
        <v>376</v>
      </c>
      <c r="B9" s="2"/>
      <c r="C9" s="5">
        <v>1</v>
      </c>
      <c r="D9" s="2">
        <v>1063</v>
      </c>
      <c r="E9" s="2">
        <v>1107</v>
      </c>
      <c r="F9" s="2">
        <v>1152</v>
      </c>
      <c r="G9" s="2">
        <v>1198</v>
      </c>
      <c r="H9" s="2">
        <v>1247</v>
      </c>
      <c r="I9" s="2">
        <v>1307</v>
      </c>
      <c r="J9" s="2">
        <v>1369</v>
      </c>
      <c r="K9" s="2">
        <v>1435</v>
      </c>
      <c r="L9" s="2">
        <v>1504</v>
      </c>
      <c r="M9" s="2">
        <v>1575</v>
      </c>
      <c r="N9" s="2">
        <v>1637</v>
      </c>
      <c r="O9" s="2">
        <v>1702</v>
      </c>
      <c r="P9" s="2">
        <v>1769</v>
      </c>
      <c r="Q9" s="2">
        <v>1838</v>
      </c>
      <c r="R9" s="2">
        <v>1910</v>
      </c>
      <c r="S9" s="2">
        <v>1943</v>
      </c>
      <c r="T9" s="2">
        <v>1976</v>
      </c>
      <c r="U9" s="2">
        <v>2010</v>
      </c>
      <c r="V9" s="2">
        <v>2044</v>
      </c>
      <c r="W9" s="2">
        <v>2079</v>
      </c>
      <c r="X9" s="2">
        <v>2094</v>
      </c>
      <c r="Y9" s="2">
        <v>2108</v>
      </c>
      <c r="Z9" s="2">
        <v>2123</v>
      </c>
      <c r="AA9" s="2">
        <v>2138</v>
      </c>
      <c r="AB9" s="2">
        <v>2152</v>
      </c>
      <c r="AC9" s="2">
        <v>2231</v>
      </c>
      <c r="AD9" s="2">
        <v>2312</v>
      </c>
      <c r="AE9" s="2">
        <v>2397</v>
      </c>
      <c r="AF9" s="2">
        <v>2484</v>
      </c>
      <c r="AG9" s="2">
        <v>2574</v>
      </c>
      <c r="AH9" s="2">
        <v>2677</v>
      </c>
      <c r="AI9" s="2">
        <v>2783</v>
      </c>
      <c r="AJ9" s="2">
        <v>2894</v>
      </c>
      <c r="AK9" s="2">
        <v>3009</v>
      </c>
      <c r="AL9" s="2">
        <v>3128</v>
      </c>
      <c r="AM9" s="2">
        <v>3128</v>
      </c>
      <c r="AN9" s="2">
        <v>3128</v>
      </c>
    </row>
    <row r="10" spans="1:40" x14ac:dyDescent="0.3">
      <c r="A10" s="2">
        <v>377</v>
      </c>
      <c r="B10" s="2"/>
      <c r="C10" s="5">
        <v>1</v>
      </c>
      <c r="D10" s="2">
        <v>1751</v>
      </c>
      <c r="E10" s="2">
        <v>1733</v>
      </c>
      <c r="F10" s="2">
        <v>1715</v>
      </c>
      <c r="G10" s="2">
        <v>1698</v>
      </c>
      <c r="H10" s="2">
        <v>1680</v>
      </c>
      <c r="I10" s="2">
        <v>1793</v>
      </c>
      <c r="J10" s="2">
        <v>1913</v>
      </c>
      <c r="K10" s="2">
        <v>2041</v>
      </c>
      <c r="L10" s="2">
        <v>2178</v>
      </c>
      <c r="M10" s="2">
        <v>2323</v>
      </c>
      <c r="N10" s="2">
        <v>2442</v>
      </c>
      <c r="O10" s="2">
        <v>2566</v>
      </c>
      <c r="P10" s="2">
        <v>2697</v>
      </c>
      <c r="Q10" s="2">
        <v>2834</v>
      </c>
      <c r="R10" s="2">
        <v>2979</v>
      </c>
      <c r="S10" s="2">
        <v>3107</v>
      </c>
      <c r="T10" s="2">
        <v>3240</v>
      </c>
      <c r="U10" s="2">
        <v>3379</v>
      </c>
      <c r="V10" s="2">
        <v>3525</v>
      </c>
      <c r="W10" s="2">
        <v>3676</v>
      </c>
      <c r="X10" s="2">
        <v>3802</v>
      </c>
      <c r="Y10" s="2">
        <v>3933</v>
      </c>
      <c r="Z10" s="2">
        <v>4068</v>
      </c>
      <c r="AA10" s="2">
        <v>4208</v>
      </c>
      <c r="AB10" s="2">
        <v>4352</v>
      </c>
      <c r="AC10" s="2">
        <v>4413</v>
      </c>
      <c r="AD10" s="2">
        <v>4474</v>
      </c>
      <c r="AE10" s="2">
        <v>4537</v>
      </c>
      <c r="AF10" s="2">
        <v>4600</v>
      </c>
      <c r="AG10" s="2">
        <v>4664</v>
      </c>
      <c r="AH10" s="2">
        <v>4664</v>
      </c>
      <c r="AI10" s="2">
        <v>4664</v>
      </c>
      <c r="AJ10" s="2">
        <v>4664</v>
      </c>
      <c r="AK10" s="2">
        <v>4664</v>
      </c>
      <c r="AL10" s="2">
        <v>4664</v>
      </c>
      <c r="AM10" s="2">
        <v>4664</v>
      </c>
      <c r="AN10" s="2">
        <v>4664</v>
      </c>
    </row>
    <row r="11" spans="1:40" x14ac:dyDescent="0.3">
      <c r="A11" s="2">
        <v>378</v>
      </c>
      <c r="B11" s="2"/>
      <c r="C11" s="5">
        <v>1</v>
      </c>
      <c r="D11" s="2">
        <v>65</v>
      </c>
      <c r="E11" s="2">
        <v>64</v>
      </c>
      <c r="F11" s="2">
        <v>63</v>
      </c>
      <c r="G11" s="2">
        <v>62</v>
      </c>
      <c r="H11" s="2">
        <v>61</v>
      </c>
      <c r="I11" s="2">
        <v>99</v>
      </c>
      <c r="J11" s="2">
        <v>161</v>
      </c>
      <c r="K11" s="2">
        <v>260</v>
      </c>
      <c r="L11" s="2">
        <v>420</v>
      </c>
      <c r="M11" s="2">
        <v>680</v>
      </c>
      <c r="N11" s="2">
        <v>775</v>
      </c>
      <c r="O11" s="2">
        <v>884</v>
      </c>
      <c r="P11" s="2">
        <v>1007</v>
      </c>
      <c r="Q11" s="2">
        <v>1149</v>
      </c>
      <c r="R11" s="2">
        <v>1310</v>
      </c>
      <c r="S11" s="2">
        <v>1398</v>
      </c>
      <c r="T11" s="2">
        <v>1493</v>
      </c>
      <c r="U11" s="2">
        <v>1593</v>
      </c>
      <c r="V11" s="2">
        <v>1701</v>
      </c>
      <c r="W11" s="2">
        <v>1816</v>
      </c>
      <c r="X11" s="2">
        <v>1892</v>
      </c>
      <c r="Y11" s="2">
        <v>1970</v>
      </c>
      <c r="Z11" s="2">
        <v>2053</v>
      </c>
      <c r="AA11" s="2">
        <v>2138</v>
      </c>
      <c r="AB11" s="2">
        <v>2227</v>
      </c>
      <c r="AC11" s="2">
        <v>2264</v>
      </c>
      <c r="AD11" s="2">
        <v>2301</v>
      </c>
      <c r="AE11" s="2">
        <v>2339</v>
      </c>
      <c r="AF11" s="2">
        <v>2378</v>
      </c>
      <c r="AG11" s="2">
        <v>2417</v>
      </c>
      <c r="AH11" s="2">
        <v>2417</v>
      </c>
      <c r="AI11" s="2">
        <v>2417</v>
      </c>
      <c r="AJ11" s="2">
        <v>2417</v>
      </c>
      <c r="AK11" s="2">
        <v>2417</v>
      </c>
      <c r="AL11" s="2">
        <v>2417</v>
      </c>
      <c r="AM11" s="2">
        <v>2417</v>
      </c>
      <c r="AN11" s="2">
        <v>2417</v>
      </c>
    </row>
    <row r="12" spans="1:40" x14ac:dyDescent="0.3">
      <c r="A12" s="2">
        <v>379</v>
      </c>
      <c r="B12" s="2"/>
      <c r="C12" s="5">
        <v>0</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x14ac:dyDescent="0.3">
      <c r="A13" s="2">
        <v>385</v>
      </c>
      <c r="B13" s="2"/>
      <c r="C13" s="5">
        <v>1</v>
      </c>
      <c r="D13" s="2">
        <v>1007</v>
      </c>
      <c r="E13" s="2">
        <v>1030</v>
      </c>
      <c r="F13" s="2">
        <v>1053</v>
      </c>
      <c r="G13" s="2">
        <v>1077</v>
      </c>
      <c r="H13" s="2">
        <v>1101</v>
      </c>
      <c r="I13" s="2">
        <v>1149</v>
      </c>
      <c r="J13" s="2">
        <v>1200</v>
      </c>
      <c r="K13" s="2">
        <v>1252</v>
      </c>
      <c r="L13" s="2">
        <v>1307</v>
      </c>
      <c r="M13" s="2">
        <v>1365</v>
      </c>
      <c r="N13" s="2">
        <v>1415</v>
      </c>
      <c r="O13" s="2">
        <v>1467</v>
      </c>
      <c r="P13" s="2">
        <v>1520</v>
      </c>
      <c r="Q13" s="2">
        <v>1576</v>
      </c>
      <c r="R13" s="2">
        <v>1634</v>
      </c>
      <c r="S13" s="2">
        <v>1706</v>
      </c>
      <c r="T13" s="2">
        <v>1782</v>
      </c>
      <c r="U13" s="2">
        <v>1861</v>
      </c>
      <c r="V13" s="2">
        <v>1944</v>
      </c>
      <c r="W13" s="2">
        <v>2030</v>
      </c>
      <c r="X13" s="2">
        <v>2111</v>
      </c>
      <c r="Y13" s="2">
        <v>2196</v>
      </c>
      <c r="Z13" s="2">
        <v>2283</v>
      </c>
      <c r="AA13" s="2">
        <v>2374</v>
      </c>
      <c r="AB13" s="2">
        <v>2469</v>
      </c>
      <c r="AC13" s="2">
        <v>2508</v>
      </c>
      <c r="AD13" s="2">
        <v>2548</v>
      </c>
      <c r="AE13" s="2">
        <v>2588</v>
      </c>
      <c r="AF13" s="2">
        <v>2629</v>
      </c>
      <c r="AG13" s="2">
        <v>2671</v>
      </c>
      <c r="AH13" s="2">
        <v>2671</v>
      </c>
      <c r="AI13" s="2">
        <v>2671</v>
      </c>
      <c r="AJ13" s="2">
        <v>2671</v>
      </c>
      <c r="AK13" s="2">
        <v>2671</v>
      </c>
      <c r="AL13" s="2">
        <v>2671</v>
      </c>
      <c r="AM13" s="2">
        <v>2671</v>
      </c>
      <c r="AN13" s="2">
        <v>2671</v>
      </c>
    </row>
    <row r="14" spans="1:40" x14ac:dyDescent="0.3">
      <c r="A14" s="2">
        <v>386</v>
      </c>
      <c r="B14" s="2"/>
      <c r="C14" s="5">
        <v>1</v>
      </c>
      <c r="D14" s="2">
        <v>1473</v>
      </c>
      <c r="E14" s="2">
        <v>1476</v>
      </c>
      <c r="F14" s="2">
        <v>1480</v>
      </c>
      <c r="G14" s="2">
        <v>1483</v>
      </c>
      <c r="H14" s="2">
        <v>1487</v>
      </c>
      <c r="I14" s="2">
        <v>1523</v>
      </c>
      <c r="J14" s="2">
        <v>1561</v>
      </c>
      <c r="K14" s="2">
        <v>1599</v>
      </c>
      <c r="L14" s="2">
        <v>1638</v>
      </c>
      <c r="M14" s="2">
        <v>1679</v>
      </c>
      <c r="N14" s="2">
        <v>1716</v>
      </c>
      <c r="O14" s="2">
        <v>1754</v>
      </c>
      <c r="P14" s="2">
        <v>1793</v>
      </c>
      <c r="Q14" s="2">
        <v>1833</v>
      </c>
      <c r="R14" s="2">
        <v>1874</v>
      </c>
      <c r="S14" s="2">
        <v>1924</v>
      </c>
      <c r="T14" s="2">
        <v>1974</v>
      </c>
      <c r="U14" s="2">
        <v>2026</v>
      </c>
      <c r="V14" s="2">
        <v>2079</v>
      </c>
      <c r="W14" s="2">
        <v>2134</v>
      </c>
      <c r="X14" s="2">
        <v>2186</v>
      </c>
      <c r="Y14" s="2">
        <v>2240</v>
      </c>
      <c r="Z14" s="2">
        <v>2295</v>
      </c>
      <c r="AA14" s="2">
        <v>2352</v>
      </c>
      <c r="AB14" s="2">
        <v>2410</v>
      </c>
      <c r="AC14" s="2">
        <v>2435</v>
      </c>
      <c r="AD14" s="2">
        <v>2460</v>
      </c>
      <c r="AE14" s="2">
        <v>2486</v>
      </c>
      <c r="AF14" s="2">
        <v>2511</v>
      </c>
      <c r="AG14" s="2">
        <v>2537</v>
      </c>
      <c r="AH14" s="2">
        <v>2537</v>
      </c>
      <c r="AI14" s="2">
        <v>2537</v>
      </c>
      <c r="AJ14" s="2">
        <v>2537</v>
      </c>
      <c r="AK14" s="2">
        <v>2537</v>
      </c>
      <c r="AL14" s="2">
        <v>2537</v>
      </c>
      <c r="AM14" s="2">
        <v>2537</v>
      </c>
      <c r="AN14" s="2">
        <v>2537</v>
      </c>
    </row>
    <row r="15" spans="1:40" x14ac:dyDescent="0.3">
      <c r="A15" s="2">
        <v>387</v>
      </c>
      <c r="B15" s="2"/>
      <c r="C15" s="5">
        <v>1</v>
      </c>
      <c r="D15" s="2">
        <v>1078</v>
      </c>
      <c r="E15" s="2">
        <v>1084</v>
      </c>
      <c r="F15" s="2">
        <v>1091</v>
      </c>
      <c r="G15" s="2">
        <v>1097</v>
      </c>
      <c r="H15" s="2">
        <v>1104</v>
      </c>
      <c r="I15" s="2">
        <v>1140</v>
      </c>
      <c r="J15" s="2">
        <v>1177</v>
      </c>
      <c r="K15" s="2">
        <v>1215</v>
      </c>
      <c r="L15" s="2">
        <v>1255</v>
      </c>
      <c r="M15" s="2">
        <v>1296</v>
      </c>
      <c r="N15" s="2">
        <v>1333</v>
      </c>
      <c r="O15" s="2">
        <v>1371</v>
      </c>
      <c r="P15" s="2">
        <v>1410</v>
      </c>
      <c r="Q15" s="2">
        <v>1450</v>
      </c>
      <c r="R15" s="2">
        <v>1491</v>
      </c>
      <c r="S15" s="2">
        <v>1540</v>
      </c>
      <c r="T15" s="2">
        <v>1590</v>
      </c>
      <c r="U15" s="2">
        <v>1642</v>
      </c>
      <c r="V15" s="2">
        <v>1695</v>
      </c>
      <c r="W15" s="2">
        <v>1751</v>
      </c>
      <c r="X15" s="2">
        <v>1803</v>
      </c>
      <c r="Y15" s="2">
        <v>1856</v>
      </c>
      <c r="Z15" s="2">
        <v>1912</v>
      </c>
      <c r="AA15" s="2">
        <v>1968</v>
      </c>
      <c r="AB15" s="2">
        <v>2027</v>
      </c>
      <c r="AC15" s="2">
        <v>2052</v>
      </c>
      <c r="AD15" s="2">
        <v>2077</v>
      </c>
      <c r="AE15" s="2">
        <v>2102</v>
      </c>
      <c r="AF15" s="2">
        <v>2128</v>
      </c>
      <c r="AG15" s="2">
        <v>2154</v>
      </c>
      <c r="AH15" s="2">
        <v>2154</v>
      </c>
      <c r="AI15" s="2">
        <v>2154</v>
      </c>
      <c r="AJ15" s="2">
        <v>2154</v>
      </c>
      <c r="AK15" s="2">
        <v>2154</v>
      </c>
      <c r="AL15" s="2">
        <v>2154</v>
      </c>
      <c r="AM15" s="2">
        <v>2154</v>
      </c>
      <c r="AN15" s="2">
        <v>2154</v>
      </c>
    </row>
    <row r="16" spans="1:40" x14ac:dyDescent="0.3">
      <c r="A16" s="2">
        <v>390</v>
      </c>
      <c r="B16" s="2"/>
      <c r="C16" s="5">
        <v>0</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x14ac:dyDescent="0.3">
      <c r="A17" s="140" t="s">
        <v>141</v>
      </c>
      <c r="B17" s="140"/>
      <c r="C17" s="140"/>
      <c r="D17" s="140">
        <f>SUM(D6:D15)</f>
        <v>8468</v>
      </c>
      <c r="E17" s="140">
        <f t="shared" ref="E17:AN17" si="0">SUM(E6:E15)</f>
        <v>8529</v>
      </c>
      <c r="F17" s="140">
        <f t="shared" si="0"/>
        <v>8593</v>
      </c>
      <c r="G17" s="140">
        <f t="shared" si="0"/>
        <v>8658</v>
      </c>
      <c r="H17" s="140">
        <f t="shared" si="0"/>
        <v>8727</v>
      </c>
      <c r="I17" s="140">
        <f t="shared" si="0"/>
        <v>9111</v>
      </c>
      <c r="J17" s="140">
        <f t="shared" si="0"/>
        <v>9538</v>
      </c>
      <c r="K17" s="140">
        <f t="shared" si="0"/>
        <v>10021</v>
      </c>
      <c r="L17" s="140">
        <f t="shared" si="0"/>
        <v>10590</v>
      </c>
      <c r="M17" s="140">
        <f t="shared" si="0"/>
        <v>11281</v>
      </c>
      <c r="N17" s="140">
        <f t="shared" si="0"/>
        <v>11738</v>
      </c>
      <c r="O17" s="140">
        <f t="shared" si="0"/>
        <v>12224</v>
      </c>
      <c r="P17" s="140">
        <f t="shared" si="0"/>
        <v>12740</v>
      </c>
      <c r="Q17" s="140">
        <f t="shared" si="0"/>
        <v>13293</v>
      </c>
      <c r="R17" s="140">
        <f t="shared" si="0"/>
        <v>13881</v>
      </c>
      <c r="S17" s="140">
        <f t="shared" si="0"/>
        <v>14326</v>
      </c>
      <c r="T17" s="140">
        <f t="shared" si="0"/>
        <v>14787</v>
      </c>
      <c r="U17" s="140">
        <f t="shared" si="0"/>
        <v>15267</v>
      </c>
      <c r="V17" s="140">
        <f t="shared" si="0"/>
        <v>15768</v>
      </c>
      <c r="W17" s="140">
        <f t="shared" si="0"/>
        <v>16292</v>
      </c>
      <c r="X17" s="140">
        <f t="shared" si="0"/>
        <v>16696</v>
      </c>
      <c r="Y17" s="140">
        <f t="shared" si="0"/>
        <v>17113</v>
      </c>
      <c r="Z17" s="140">
        <f t="shared" si="0"/>
        <v>17547</v>
      </c>
      <c r="AA17" s="140">
        <f t="shared" si="0"/>
        <v>17993</v>
      </c>
      <c r="AB17" s="140">
        <f t="shared" si="0"/>
        <v>18454</v>
      </c>
      <c r="AC17" s="140">
        <f t="shared" si="0"/>
        <v>18723</v>
      </c>
      <c r="AD17" s="140">
        <f t="shared" si="0"/>
        <v>18995</v>
      </c>
      <c r="AE17" s="140">
        <f t="shared" si="0"/>
        <v>19275</v>
      </c>
      <c r="AF17" s="140">
        <f t="shared" si="0"/>
        <v>19559</v>
      </c>
      <c r="AG17" s="140">
        <f t="shared" si="0"/>
        <v>19849</v>
      </c>
      <c r="AH17" s="140">
        <f t="shared" si="0"/>
        <v>19955</v>
      </c>
      <c r="AI17" s="140">
        <f t="shared" si="0"/>
        <v>20064</v>
      </c>
      <c r="AJ17" s="140">
        <f t="shared" si="0"/>
        <v>20178</v>
      </c>
      <c r="AK17" s="140">
        <f t="shared" si="0"/>
        <v>20296</v>
      </c>
      <c r="AL17" s="140">
        <f t="shared" si="0"/>
        <v>20417</v>
      </c>
      <c r="AM17" s="140">
        <f t="shared" si="0"/>
        <v>20417</v>
      </c>
      <c r="AN17" s="140">
        <f t="shared" si="0"/>
        <v>20417</v>
      </c>
    </row>
    <row r="18" spans="1:40" x14ac:dyDescent="0.3">
      <c r="A18" s="2"/>
      <c r="B18" s="2"/>
      <c r="C18" s="140" t="s">
        <v>140</v>
      </c>
      <c r="D18" s="2"/>
      <c r="E18" s="2">
        <f>E17-D17</f>
        <v>61</v>
      </c>
      <c r="F18" s="2">
        <f t="shared" ref="F18:AL18" si="1">F17-E17</f>
        <v>64</v>
      </c>
      <c r="G18" s="2">
        <f t="shared" si="1"/>
        <v>65</v>
      </c>
      <c r="H18" s="2">
        <f t="shared" si="1"/>
        <v>69</v>
      </c>
      <c r="I18" s="2">
        <f t="shared" si="1"/>
        <v>384</v>
      </c>
      <c r="J18" s="2">
        <f t="shared" si="1"/>
        <v>427</v>
      </c>
      <c r="K18" s="2">
        <f t="shared" si="1"/>
        <v>483</v>
      </c>
      <c r="L18" s="2">
        <f t="shared" si="1"/>
        <v>569</v>
      </c>
      <c r="M18" s="2">
        <f t="shared" si="1"/>
        <v>691</v>
      </c>
      <c r="N18" s="2">
        <f t="shared" si="1"/>
        <v>457</v>
      </c>
      <c r="O18" s="2">
        <f t="shared" si="1"/>
        <v>486</v>
      </c>
      <c r="P18" s="2">
        <f t="shared" si="1"/>
        <v>516</v>
      </c>
      <c r="Q18" s="2">
        <f t="shared" si="1"/>
        <v>553</v>
      </c>
      <c r="R18" s="2">
        <f t="shared" si="1"/>
        <v>588</v>
      </c>
      <c r="S18" s="2">
        <f t="shared" si="1"/>
        <v>445</v>
      </c>
      <c r="T18" s="2">
        <f t="shared" si="1"/>
        <v>461</v>
      </c>
      <c r="U18" s="2">
        <f t="shared" si="1"/>
        <v>480</v>
      </c>
      <c r="V18" s="2">
        <f t="shared" si="1"/>
        <v>501</v>
      </c>
      <c r="W18" s="2">
        <f t="shared" si="1"/>
        <v>524</v>
      </c>
      <c r="X18" s="2">
        <f t="shared" si="1"/>
        <v>404</v>
      </c>
      <c r="Y18" s="2">
        <f t="shared" si="1"/>
        <v>417</v>
      </c>
      <c r="Z18" s="2">
        <f t="shared" si="1"/>
        <v>434</v>
      </c>
      <c r="AA18" s="2">
        <f t="shared" si="1"/>
        <v>446</v>
      </c>
      <c r="AB18" s="2">
        <f t="shared" si="1"/>
        <v>461</v>
      </c>
      <c r="AC18" s="2">
        <f t="shared" si="1"/>
        <v>269</v>
      </c>
      <c r="AD18" s="2">
        <f t="shared" si="1"/>
        <v>272</v>
      </c>
      <c r="AE18" s="2">
        <f t="shared" si="1"/>
        <v>280</v>
      </c>
      <c r="AF18" s="2">
        <f t="shared" si="1"/>
        <v>284</v>
      </c>
      <c r="AG18" s="2">
        <f t="shared" si="1"/>
        <v>290</v>
      </c>
      <c r="AH18" s="2">
        <f t="shared" si="1"/>
        <v>106</v>
      </c>
      <c r="AI18" s="2">
        <f t="shared" si="1"/>
        <v>109</v>
      </c>
      <c r="AJ18" s="2">
        <f t="shared" si="1"/>
        <v>114</v>
      </c>
      <c r="AK18" s="2">
        <f t="shared" si="1"/>
        <v>118</v>
      </c>
      <c r="AL18" s="2">
        <f t="shared" si="1"/>
        <v>121</v>
      </c>
      <c r="AM18" s="2">
        <v>0</v>
      </c>
      <c r="AN18" s="2">
        <v>0</v>
      </c>
    </row>
    <row r="19" spans="1:40" x14ac:dyDescent="0.3">
      <c r="A19" s="2"/>
      <c r="B19" s="2"/>
      <c r="C19" s="140" t="s">
        <v>139</v>
      </c>
      <c r="D19" s="2"/>
      <c r="E19" s="2">
        <v>0</v>
      </c>
      <c r="F19" s="162">
        <f>F18/SUM($F$18:$AN$18)</f>
        <v>5.3835800807537013E-3</v>
      </c>
      <c r="G19" s="162">
        <f t="shared" ref="G19:AN19" si="2">G18/SUM($F$18:$AN$18)</f>
        <v>5.4676985195154775E-3</v>
      </c>
      <c r="H19" s="162">
        <f t="shared" si="2"/>
        <v>5.8041722745625843E-3</v>
      </c>
      <c r="I19" s="162">
        <f t="shared" si="2"/>
        <v>3.2301480484522208E-2</v>
      </c>
      <c r="J19" s="162">
        <f t="shared" si="2"/>
        <v>3.5918573351278599E-2</v>
      </c>
      <c r="K19" s="162">
        <f t="shared" si="2"/>
        <v>4.062920592193809E-2</v>
      </c>
      <c r="L19" s="162">
        <f t="shared" si="2"/>
        <v>4.7863391655450872E-2</v>
      </c>
      <c r="M19" s="162">
        <f t="shared" si="2"/>
        <v>5.8125841184387621E-2</v>
      </c>
      <c r="N19" s="162">
        <f t="shared" si="2"/>
        <v>3.8442126514131897E-2</v>
      </c>
      <c r="O19" s="162">
        <f t="shared" si="2"/>
        <v>4.0881561238223417E-2</v>
      </c>
      <c r="P19" s="162">
        <f t="shared" si="2"/>
        <v>4.3405114401076715E-2</v>
      </c>
      <c r="Q19" s="162">
        <f t="shared" si="2"/>
        <v>4.6517496635262452E-2</v>
      </c>
      <c r="R19" s="162">
        <f t="shared" si="2"/>
        <v>4.9461641991924633E-2</v>
      </c>
      <c r="S19" s="162">
        <f t="shared" si="2"/>
        <v>3.7432705248990582E-2</v>
      </c>
      <c r="T19" s="162">
        <f t="shared" si="2"/>
        <v>3.8778600269179002E-2</v>
      </c>
      <c r="U19" s="162">
        <f t="shared" si="2"/>
        <v>4.0376850605652756E-2</v>
      </c>
      <c r="V19" s="162">
        <f t="shared" si="2"/>
        <v>4.2143337819650066E-2</v>
      </c>
      <c r="W19" s="162">
        <f t="shared" si="2"/>
        <v>4.4078061911170932E-2</v>
      </c>
      <c r="X19" s="162">
        <f t="shared" si="2"/>
        <v>3.398384925975774E-2</v>
      </c>
      <c r="Y19" s="162">
        <f t="shared" si="2"/>
        <v>3.5077388963660833E-2</v>
      </c>
      <c r="Z19" s="162">
        <f t="shared" si="2"/>
        <v>3.6507402422611038E-2</v>
      </c>
      <c r="AA19" s="162">
        <f t="shared" si="2"/>
        <v>3.7516823687752353E-2</v>
      </c>
      <c r="AB19" s="162">
        <f t="shared" si="2"/>
        <v>3.8778600269179002E-2</v>
      </c>
      <c r="AC19" s="162">
        <f t="shared" si="2"/>
        <v>2.2627860026917902E-2</v>
      </c>
      <c r="AD19" s="162">
        <f t="shared" si="2"/>
        <v>2.2880215343203229E-2</v>
      </c>
      <c r="AE19" s="162">
        <f t="shared" si="2"/>
        <v>2.3553162853297442E-2</v>
      </c>
      <c r="AF19" s="162">
        <f t="shared" si="2"/>
        <v>2.3889636608344551E-2</v>
      </c>
      <c r="AG19" s="162">
        <f t="shared" si="2"/>
        <v>2.4394347240915208E-2</v>
      </c>
      <c r="AH19" s="162">
        <f t="shared" si="2"/>
        <v>8.9165545087483179E-3</v>
      </c>
      <c r="AI19" s="162">
        <f t="shared" si="2"/>
        <v>9.1689098250336467E-3</v>
      </c>
      <c r="AJ19" s="162">
        <f t="shared" si="2"/>
        <v>9.5895020188425297E-3</v>
      </c>
      <c r="AK19" s="162">
        <f t="shared" si="2"/>
        <v>9.9259757738896365E-3</v>
      </c>
      <c r="AL19" s="162">
        <f t="shared" si="2"/>
        <v>1.0178331090174967E-2</v>
      </c>
      <c r="AM19" s="162">
        <f t="shared" si="2"/>
        <v>0</v>
      </c>
      <c r="AN19" s="162">
        <f t="shared" si="2"/>
        <v>0</v>
      </c>
    </row>
    <row r="20" spans="1:40" ht="12.75" customHeight="1" x14ac:dyDescent="0.3">
      <c r="A20" t="s">
        <v>138</v>
      </c>
      <c r="D20">
        <f>AL17-D17</f>
        <v>11949</v>
      </c>
      <c r="E20" s="14"/>
      <c r="F20" s="14">
        <f>F18/SUM($F$18:$AN$18)</f>
        <v>5.3835800807537013E-3</v>
      </c>
      <c r="G20" s="14">
        <f t="shared" ref="G20:I20" si="3">G18/SUM($F$18:$AN$18)</f>
        <v>5.4676985195154775E-3</v>
      </c>
      <c r="H20" s="14">
        <f t="shared" si="3"/>
        <v>5.8041722745625843E-3</v>
      </c>
      <c r="I20" s="14">
        <f t="shared" si="3"/>
        <v>3.2301480484522208E-2</v>
      </c>
      <c r="J20" s="34"/>
      <c r="K20" s="34"/>
      <c r="L20" s="34"/>
      <c r="M20" s="34">
        <f t="shared" ref="M20:AL20" si="4">M19/SUM($M19:$AN19)</f>
        <v>7.0316475017808092E-2</v>
      </c>
      <c r="N20" s="34">
        <f t="shared" si="4"/>
        <v>4.6504528340286969E-2</v>
      </c>
      <c r="O20" s="34">
        <f t="shared" si="4"/>
        <v>4.9455581561005393E-2</v>
      </c>
      <c r="P20" s="34">
        <f t="shared" si="4"/>
        <v>5.2508395237610667E-2</v>
      </c>
      <c r="Q20" s="34">
        <f t="shared" si="4"/>
        <v>5.6273532105423837E-2</v>
      </c>
      <c r="R20" s="34">
        <f t="shared" si="4"/>
        <v>5.9835148061463325E-2</v>
      </c>
      <c r="S20" s="34">
        <f t="shared" si="4"/>
        <v>4.5283402869644863E-2</v>
      </c>
      <c r="T20" s="34">
        <f t="shared" si="4"/>
        <v>4.6911570163834335E-2</v>
      </c>
      <c r="U20" s="34">
        <f t="shared" si="4"/>
        <v>4.8845018825684337E-2</v>
      </c>
      <c r="V20" s="34">
        <f t="shared" si="4"/>
        <v>5.098198839930803E-2</v>
      </c>
      <c r="W20" s="34">
        <f t="shared" si="4"/>
        <v>5.3322478884705413E-2</v>
      </c>
      <c r="X20" s="34">
        <f t="shared" si="4"/>
        <v>4.111122417828432E-2</v>
      </c>
      <c r="Y20" s="34">
        <f t="shared" si="4"/>
        <v>4.2434110104813266E-2</v>
      </c>
      <c r="Z20" s="34">
        <f t="shared" si="4"/>
        <v>4.4164037854889593E-2</v>
      </c>
      <c r="AA20" s="34">
        <f t="shared" si="4"/>
        <v>4.5385163325531698E-2</v>
      </c>
      <c r="AB20" s="34">
        <f t="shared" si="4"/>
        <v>4.6911570163834335E-2</v>
      </c>
      <c r="AC20" s="34">
        <f t="shared" si="4"/>
        <v>2.73735626335606E-2</v>
      </c>
      <c r="AD20" s="34">
        <f t="shared" si="4"/>
        <v>2.7678844001221125E-2</v>
      </c>
      <c r="AE20" s="34">
        <f t="shared" si="4"/>
        <v>2.8492927648315864E-2</v>
      </c>
      <c r="AF20" s="34">
        <f t="shared" si="4"/>
        <v>2.8899969471863237E-2</v>
      </c>
      <c r="AG20" s="34">
        <f t="shared" si="4"/>
        <v>2.951053220718429E-2</v>
      </c>
      <c r="AH20" s="34">
        <f t="shared" si="4"/>
        <v>1.0786608324005293E-2</v>
      </c>
      <c r="AI20" s="34">
        <f t="shared" si="4"/>
        <v>1.1091889691665819E-2</v>
      </c>
      <c r="AJ20" s="34">
        <f t="shared" si="4"/>
        <v>1.160069197110003E-2</v>
      </c>
      <c r="AK20" s="34">
        <f t="shared" si="4"/>
        <v>1.2007733794647401E-2</v>
      </c>
      <c r="AL20" s="34">
        <f t="shared" si="4"/>
        <v>1.2313015162307929E-2</v>
      </c>
      <c r="AM20" s="34">
        <f t="shared" ref="AM20:AN20" si="5">AM19/SUM($M19:$AN19)</f>
        <v>0</v>
      </c>
      <c r="AN20" s="34">
        <f t="shared" si="5"/>
        <v>0</v>
      </c>
    </row>
    <row r="21" spans="1:40" s="40" customFormat="1" ht="12.75" customHeight="1" x14ac:dyDescent="0.3">
      <c r="A21" s="40" t="s">
        <v>147</v>
      </c>
      <c r="E21" s="114"/>
      <c r="F21" s="114"/>
      <c r="G21" s="114"/>
      <c r="J21" s="112"/>
      <c r="K21" s="40">
        <f>$AL$17-J17</f>
        <v>10879</v>
      </c>
      <c r="L21" s="40">
        <f t="shared" ref="L21:AN21" si="6">$AL$17-K17</f>
        <v>10396</v>
      </c>
      <c r="M21" s="40">
        <f t="shared" si="6"/>
        <v>9827</v>
      </c>
      <c r="N21" s="40">
        <f t="shared" si="6"/>
        <v>9136</v>
      </c>
      <c r="O21" s="40">
        <f t="shared" si="6"/>
        <v>8679</v>
      </c>
      <c r="P21" s="40">
        <f t="shared" si="6"/>
        <v>8193</v>
      </c>
      <c r="Q21" s="40">
        <f t="shared" si="6"/>
        <v>7677</v>
      </c>
      <c r="R21" s="40">
        <f t="shared" si="6"/>
        <v>7124</v>
      </c>
      <c r="S21" s="40">
        <f t="shared" si="6"/>
        <v>6536</v>
      </c>
      <c r="T21" s="40">
        <f t="shared" si="6"/>
        <v>6091</v>
      </c>
      <c r="U21" s="40">
        <f t="shared" si="6"/>
        <v>5630</v>
      </c>
      <c r="V21" s="40">
        <f t="shared" si="6"/>
        <v>5150</v>
      </c>
      <c r="W21" s="40">
        <f t="shared" si="6"/>
        <v>4649</v>
      </c>
      <c r="X21" s="40">
        <f t="shared" si="6"/>
        <v>4125</v>
      </c>
      <c r="Y21" s="40">
        <f t="shared" si="6"/>
        <v>3721</v>
      </c>
      <c r="Z21" s="40">
        <f t="shared" si="6"/>
        <v>3304</v>
      </c>
      <c r="AA21" s="40">
        <f t="shared" si="6"/>
        <v>2870</v>
      </c>
      <c r="AB21" s="40">
        <f t="shared" si="6"/>
        <v>2424</v>
      </c>
      <c r="AC21" s="40">
        <f t="shared" si="6"/>
        <v>1963</v>
      </c>
      <c r="AD21" s="40">
        <f t="shared" si="6"/>
        <v>1694</v>
      </c>
      <c r="AE21" s="40">
        <f t="shared" si="6"/>
        <v>1422</v>
      </c>
      <c r="AF21" s="40">
        <f t="shared" si="6"/>
        <v>1142</v>
      </c>
      <c r="AG21" s="40">
        <f t="shared" si="6"/>
        <v>858</v>
      </c>
      <c r="AH21" s="40">
        <f t="shared" si="6"/>
        <v>568</v>
      </c>
      <c r="AI21" s="40">
        <f t="shared" si="6"/>
        <v>462</v>
      </c>
      <c r="AJ21" s="40">
        <f t="shared" si="6"/>
        <v>353</v>
      </c>
      <c r="AK21" s="40">
        <f t="shared" si="6"/>
        <v>239</v>
      </c>
      <c r="AL21" s="40">
        <f t="shared" si="6"/>
        <v>121</v>
      </c>
      <c r="AM21" s="40">
        <f t="shared" si="6"/>
        <v>0</v>
      </c>
      <c r="AN21" s="40">
        <f t="shared" si="6"/>
        <v>0</v>
      </c>
    </row>
    <row r="22" spans="1:40" x14ac:dyDescent="0.3">
      <c r="E22">
        <f>E18/$D$20</f>
        <v>5.10502970959913E-3</v>
      </c>
      <c r="L22">
        <f>L17-K17</f>
        <v>569</v>
      </c>
      <c r="T22" s="34">
        <f t="shared" ref="T22:AL22" si="7">T19/SUM($T19:$AN19)</f>
        <v>7.568543753078312E-2</v>
      </c>
      <c r="U22" s="34">
        <f t="shared" si="7"/>
        <v>7.8804793958299132E-2</v>
      </c>
      <c r="V22" s="34">
        <f t="shared" si="7"/>
        <v>8.2252503693974716E-2</v>
      </c>
      <c r="W22" s="34">
        <f t="shared" si="7"/>
        <v>8.6028566737809897E-2</v>
      </c>
      <c r="X22" s="34">
        <f t="shared" si="7"/>
        <v>6.6327368248235111E-2</v>
      </c>
      <c r="Y22" s="34">
        <f t="shared" si="7"/>
        <v>6.8461664751272369E-2</v>
      </c>
      <c r="Z22" s="34">
        <f t="shared" si="7"/>
        <v>7.1252667870628811E-2</v>
      </c>
      <c r="AA22" s="34">
        <f t="shared" si="7"/>
        <v>7.3222787719586277E-2</v>
      </c>
      <c r="AB22" s="34">
        <f t="shared" si="7"/>
        <v>7.568543753078312E-2</v>
      </c>
      <c r="AC22" s="34">
        <f t="shared" si="7"/>
        <v>4.4163519947463474E-2</v>
      </c>
      <c r="AD22" s="34">
        <f t="shared" si="7"/>
        <v>4.4656049909702837E-2</v>
      </c>
      <c r="AE22" s="34">
        <f t="shared" si="7"/>
        <v>4.5969463142341162E-2</v>
      </c>
      <c r="AF22" s="34">
        <f t="shared" si="7"/>
        <v>4.6626169758660324E-2</v>
      </c>
      <c r="AG22" s="34">
        <f t="shared" si="7"/>
        <v>4.7611229683139057E-2</v>
      </c>
      <c r="AH22" s="34">
        <f t="shared" si="7"/>
        <v>1.7402725332457725E-2</v>
      </c>
      <c r="AI22" s="34">
        <f t="shared" si="7"/>
        <v>1.7895255294697095E-2</v>
      </c>
      <c r="AJ22" s="34">
        <f t="shared" si="7"/>
        <v>1.8716138565096043E-2</v>
      </c>
      <c r="AK22" s="34">
        <f t="shared" si="7"/>
        <v>1.9372845181415205E-2</v>
      </c>
      <c r="AL22" s="34">
        <f t="shared" si="7"/>
        <v>1.9865375143654575E-2</v>
      </c>
      <c r="AM22" s="34"/>
      <c r="AN22" s="34"/>
    </row>
    <row r="23" spans="1:40" x14ac:dyDescent="0.3">
      <c r="B23" t="s">
        <v>137</v>
      </c>
      <c r="C23" t="s">
        <v>136</v>
      </c>
    </row>
    <row r="24" spans="1:40" x14ac:dyDescent="0.3">
      <c r="A24" t="s">
        <v>135</v>
      </c>
      <c r="B24">
        <v>2025</v>
      </c>
      <c r="C24">
        <v>2052</v>
      </c>
      <c r="D24">
        <f>SUM(D7:D15)+D6*$C$6</f>
        <v>8083.91</v>
      </c>
      <c r="E24">
        <f t="shared" ref="E24:AL24" si="8">SUM(E6:E15)</f>
        <v>8529</v>
      </c>
      <c r="F24">
        <f t="shared" si="8"/>
        <v>8593</v>
      </c>
      <c r="G24">
        <f t="shared" si="8"/>
        <v>8658</v>
      </c>
      <c r="H24">
        <f t="shared" si="8"/>
        <v>8727</v>
      </c>
      <c r="I24">
        <f t="shared" si="8"/>
        <v>9111</v>
      </c>
      <c r="J24">
        <f t="shared" si="8"/>
        <v>9538</v>
      </c>
      <c r="K24">
        <f t="shared" si="8"/>
        <v>10021</v>
      </c>
      <c r="L24">
        <f t="shared" si="8"/>
        <v>10590</v>
      </c>
      <c r="M24">
        <f t="shared" si="8"/>
        <v>11281</v>
      </c>
      <c r="N24">
        <f t="shared" si="8"/>
        <v>11738</v>
      </c>
      <c r="O24">
        <f t="shared" si="8"/>
        <v>12224</v>
      </c>
      <c r="P24">
        <f t="shared" si="8"/>
        <v>12740</v>
      </c>
      <c r="Q24">
        <f t="shared" si="8"/>
        <v>13293</v>
      </c>
      <c r="R24">
        <f t="shared" si="8"/>
        <v>13881</v>
      </c>
      <c r="S24">
        <f t="shared" si="8"/>
        <v>14326</v>
      </c>
      <c r="T24">
        <f t="shared" si="8"/>
        <v>14787</v>
      </c>
      <c r="U24">
        <f t="shared" si="8"/>
        <v>15267</v>
      </c>
      <c r="V24">
        <f t="shared" si="8"/>
        <v>15768</v>
      </c>
      <c r="W24">
        <f t="shared" si="8"/>
        <v>16292</v>
      </c>
      <c r="X24">
        <f t="shared" si="8"/>
        <v>16696</v>
      </c>
      <c r="Y24">
        <f t="shared" si="8"/>
        <v>17113</v>
      </c>
      <c r="Z24">
        <f t="shared" si="8"/>
        <v>17547</v>
      </c>
      <c r="AA24">
        <f t="shared" si="8"/>
        <v>17993</v>
      </c>
      <c r="AB24">
        <f t="shared" si="8"/>
        <v>18454</v>
      </c>
      <c r="AC24">
        <f t="shared" si="8"/>
        <v>18723</v>
      </c>
      <c r="AD24">
        <f t="shared" si="8"/>
        <v>18995</v>
      </c>
      <c r="AE24">
        <f t="shared" si="8"/>
        <v>19275</v>
      </c>
      <c r="AF24">
        <f t="shared" si="8"/>
        <v>19559</v>
      </c>
      <c r="AG24">
        <f t="shared" si="8"/>
        <v>19849</v>
      </c>
      <c r="AH24">
        <f t="shared" si="8"/>
        <v>19955</v>
      </c>
      <c r="AI24">
        <f t="shared" si="8"/>
        <v>20064</v>
      </c>
      <c r="AJ24">
        <f t="shared" si="8"/>
        <v>20178</v>
      </c>
      <c r="AK24">
        <f t="shared" si="8"/>
        <v>20296</v>
      </c>
      <c r="AL24">
        <f t="shared" si="8"/>
        <v>20417</v>
      </c>
      <c r="AM24">
        <f t="shared" ref="AM24:AN24" si="9">SUM(AM6:AM15)</f>
        <v>20417</v>
      </c>
      <c r="AN24">
        <f t="shared" si="9"/>
        <v>20417</v>
      </c>
    </row>
    <row r="25" spans="1:40" x14ac:dyDescent="0.3">
      <c r="A25" t="s">
        <v>134</v>
      </c>
      <c r="B25">
        <f>'Tamaki Pipe Network UnEscal'!C1</f>
        <v>2027</v>
      </c>
      <c r="C25">
        <f>'Tamaki Pipe Network UnEscal'!F1</f>
        <v>2054</v>
      </c>
      <c r="D25">
        <f>D24-D17</f>
        <v>-384.09000000000015</v>
      </c>
    </row>
    <row r="27" spans="1:40" x14ac:dyDescent="0.3">
      <c r="C27" s="139">
        <v>2025</v>
      </c>
      <c r="D27" s="139">
        <v>2026</v>
      </c>
      <c r="E27" s="139">
        <v>2027</v>
      </c>
      <c r="F27" s="139">
        <v>2028</v>
      </c>
      <c r="G27" s="139">
        <v>2029</v>
      </c>
      <c r="H27" s="139">
        <v>2030</v>
      </c>
      <c r="I27" s="139">
        <v>2031</v>
      </c>
      <c r="J27" s="139">
        <v>2032</v>
      </c>
      <c r="K27" s="139">
        <v>2033</v>
      </c>
      <c r="L27" s="139">
        <v>2034</v>
      </c>
      <c r="M27" s="139">
        <v>2035</v>
      </c>
      <c r="N27" s="139">
        <v>2036</v>
      </c>
      <c r="O27" s="139">
        <v>2037</v>
      </c>
      <c r="P27" s="139">
        <v>2038</v>
      </c>
      <c r="Q27" s="139">
        <v>2039</v>
      </c>
      <c r="R27" s="139">
        <v>2040</v>
      </c>
      <c r="S27" s="139">
        <v>2041</v>
      </c>
      <c r="T27" s="139">
        <v>2042</v>
      </c>
      <c r="U27" s="139">
        <v>2043</v>
      </c>
      <c r="V27" s="139">
        <v>2044</v>
      </c>
      <c r="W27" s="139">
        <v>2045</v>
      </c>
      <c r="X27" s="139">
        <v>2046</v>
      </c>
      <c r="Y27" s="139">
        <v>2047</v>
      </c>
      <c r="Z27" s="139">
        <v>2048</v>
      </c>
      <c r="AA27" s="139">
        <v>2049</v>
      </c>
      <c r="AB27" s="139">
        <v>2050</v>
      </c>
      <c r="AC27" s="139">
        <v>2051</v>
      </c>
      <c r="AD27" s="139">
        <v>2052</v>
      </c>
      <c r="AE27" s="139">
        <v>2053</v>
      </c>
      <c r="AF27" s="139">
        <v>2054</v>
      </c>
    </row>
    <row r="28" spans="1:40" x14ac:dyDescent="0.3">
      <c r="A28" t="s">
        <v>146</v>
      </c>
      <c r="C28">
        <v>0</v>
      </c>
      <c r="D28">
        <v>0</v>
      </c>
      <c r="E28" s="113">
        <f t="shared" ref="E28:AF28" si="10">M19/SUM($M19:$AN19)</f>
        <v>7.0316475017808092E-2</v>
      </c>
      <c r="F28" s="113">
        <f t="shared" si="10"/>
        <v>4.6504528340286969E-2</v>
      </c>
      <c r="G28" s="113">
        <f t="shared" si="10"/>
        <v>4.9455581561005393E-2</v>
      </c>
      <c r="H28" s="113">
        <f t="shared" si="10"/>
        <v>5.2508395237610667E-2</v>
      </c>
      <c r="I28" s="113">
        <f t="shared" si="10"/>
        <v>5.6273532105423837E-2</v>
      </c>
      <c r="J28" s="113">
        <f t="shared" si="10"/>
        <v>5.9835148061463325E-2</v>
      </c>
      <c r="K28" s="113">
        <f t="shared" si="10"/>
        <v>4.5283402869644863E-2</v>
      </c>
      <c r="L28" s="113">
        <f t="shared" si="10"/>
        <v>4.6911570163834335E-2</v>
      </c>
      <c r="M28" s="113">
        <f t="shared" si="10"/>
        <v>4.8845018825684337E-2</v>
      </c>
      <c r="N28" s="113">
        <f t="shared" si="10"/>
        <v>5.098198839930803E-2</v>
      </c>
      <c r="O28" s="113">
        <f t="shared" si="10"/>
        <v>5.3322478884705413E-2</v>
      </c>
      <c r="P28" s="113">
        <f t="shared" si="10"/>
        <v>4.111122417828432E-2</v>
      </c>
      <c r="Q28" s="113">
        <f t="shared" si="10"/>
        <v>4.2434110104813266E-2</v>
      </c>
      <c r="R28" s="113">
        <f t="shared" si="10"/>
        <v>4.4164037854889593E-2</v>
      </c>
      <c r="S28" s="113">
        <f t="shared" si="10"/>
        <v>4.5385163325531698E-2</v>
      </c>
      <c r="T28" s="113">
        <f t="shared" si="10"/>
        <v>4.6911570163834335E-2</v>
      </c>
      <c r="U28" s="113">
        <f t="shared" si="10"/>
        <v>2.73735626335606E-2</v>
      </c>
      <c r="V28" s="113">
        <f t="shared" si="10"/>
        <v>2.7678844001221125E-2</v>
      </c>
      <c r="W28" s="113">
        <f t="shared" si="10"/>
        <v>2.8492927648315864E-2</v>
      </c>
      <c r="X28" s="113">
        <f t="shared" si="10"/>
        <v>2.8899969471863237E-2</v>
      </c>
      <c r="Y28" s="113">
        <f t="shared" si="10"/>
        <v>2.951053220718429E-2</v>
      </c>
      <c r="Z28" s="113">
        <f t="shared" si="10"/>
        <v>1.0786608324005293E-2</v>
      </c>
      <c r="AA28" s="113">
        <f t="shared" si="10"/>
        <v>1.1091889691665819E-2</v>
      </c>
      <c r="AB28" s="113">
        <f t="shared" si="10"/>
        <v>1.160069197110003E-2</v>
      </c>
      <c r="AC28" s="113">
        <f t="shared" si="10"/>
        <v>1.2007733794647401E-2</v>
      </c>
      <c r="AD28" s="113">
        <f t="shared" si="10"/>
        <v>1.2313015162307929E-2</v>
      </c>
      <c r="AE28" s="113">
        <f t="shared" si="10"/>
        <v>0</v>
      </c>
      <c r="AF28" s="113">
        <f t="shared" si="10"/>
        <v>0</v>
      </c>
    </row>
    <row r="30" spans="1:40" x14ac:dyDescent="0.3">
      <c r="A30" t="s">
        <v>148</v>
      </c>
      <c r="C30">
        <f t="shared" ref="C30:AF30" si="11">_xlfn.XLOOKUP($B$25,4:4,21:21,"NF",0)</f>
        <v>9827</v>
      </c>
      <c r="D30">
        <f t="shared" si="11"/>
        <v>9827</v>
      </c>
      <c r="E30">
        <f t="shared" si="11"/>
        <v>9827</v>
      </c>
      <c r="F30">
        <f t="shared" si="11"/>
        <v>9827</v>
      </c>
      <c r="G30">
        <f t="shared" si="11"/>
        <v>9827</v>
      </c>
      <c r="H30">
        <f t="shared" si="11"/>
        <v>9827</v>
      </c>
      <c r="I30">
        <f t="shared" si="11"/>
        <v>9827</v>
      </c>
      <c r="J30">
        <f t="shared" si="11"/>
        <v>9827</v>
      </c>
      <c r="K30">
        <f t="shared" si="11"/>
        <v>9827</v>
      </c>
      <c r="L30">
        <f t="shared" si="11"/>
        <v>9827</v>
      </c>
      <c r="M30">
        <f t="shared" si="11"/>
        <v>9827</v>
      </c>
      <c r="N30">
        <f t="shared" si="11"/>
        <v>9827</v>
      </c>
      <c r="O30">
        <f t="shared" si="11"/>
        <v>9827</v>
      </c>
      <c r="P30">
        <f t="shared" si="11"/>
        <v>9827</v>
      </c>
      <c r="Q30">
        <f t="shared" si="11"/>
        <v>9827</v>
      </c>
      <c r="R30">
        <f t="shared" si="11"/>
        <v>9827</v>
      </c>
      <c r="S30">
        <f t="shared" si="11"/>
        <v>9827</v>
      </c>
      <c r="T30">
        <f t="shared" si="11"/>
        <v>9827</v>
      </c>
      <c r="U30">
        <f t="shared" si="11"/>
        <v>9827</v>
      </c>
      <c r="V30">
        <f t="shared" si="11"/>
        <v>9827</v>
      </c>
      <c r="W30">
        <f t="shared" si="11"/>
        <v>9827</v>
      </c>
      <c r="X30">
        <f t="shared" si="11"/>
        <v>9827</v>
      </c>
      <c r="Y30">
        <f t="shared" si="11"/>
        <v>9827</v>
      </c>
      <c r="Z30">
        <f t="shared" si="11"/>
        <v>9827</v>
      </c>
      <c r="AA30">
        <f t="shared" si="11"/>
        <v>9827</v>
      </c>
      <c r="AB30">
        <f t="shared" si="11"/>
        <v>9827</v>
      </c>
      <c r="AC30">
        <f t="shared" si="11"/>
        <v>9827</v>
      </c>
      <c r="AD30">
        <f t="shared" si="11"/>
        <v>9827</v>
      </c>
      <c r="AE30">
        <f t="shared" si="11"/>
        <v>9827</v>
      </c>
      <c r="AF30">
        <f t="shared" si="11"/>
        <v>9827</v>
      </c>
    </row>
    <row r="31" spans="1:40" s="34" customFormat="1" x14ac:dyDescent="0.3">
      <c r="A31" s="34" t="s">
        <v>146</v>
      </c>
      <c r="C31" s="196">
        <f>IF(C27&lt;$B$25,0,K18/C30)</f>
        <v>0</v>
      </c>
      <c r="D31" s="196">
        <f t="shared" ref="D31:AF31" si="12">IF(D27&lt;$B$25,0,L18/D30)</f>
        <v>0</v>
      </c>
      <c r="E31" s="196">
        <f t="shared" si="12"/>
        <v>7.0316475017808078E-2</v>
      </c>
      <c r="F31" s="196">
        <f t="shared" si="12"/>
        <v>4.6504528340286962E-2</v>
      </c>
      <c r="G31" s="196">
        <f t="shared" si="12"/>
        <v>4.9455581561005393E-2</v>
      </c>
      <c r="H31" s="196">
        <f t="shared" si="12"/>
        <v>5.2508395237610667E-2</v>
      </c>
      <c r="I31" s="196">
        <f t="shared" si="12"/>
        <v>5.627353210542383E-2</v>
      </c>
      <c r="J31" s="196">
        <f t="shared" si="12"/>
        <v>5.9835148061463318E-2</v>
      </c>
      <c r="K31" s="196">
        <f t="shared" si="12"/>
        <v>4.5283402869644857E-2</v>
      </c>
      <c r="L31" s="196">
        <f t="shared" si="12"/>
        <v>4.6911570163834335E-2</v>
      </c>
      <c r="M31" s="196">
        <f t="shared" si="12"/>
        <v>4.8845018825684337E-2</v>
      </c>
      <c r="N31" s="196">
        <f t="shared" si="12"/>
        <v>5.098198839930803E-2</v>
      </c>
      <c r="O31" s="196">
        <f t="shared" si="12"/>
        <v>5.3322478884705406E-2</v>
      </c>
      <c r="P31" s="196">
        <f t="shared" si="12"/>
        <v>4.111122417828432E-2</v>
      </c>
      <c r="Q31" s="196">
        <f t="shared" si="12"/>
        <v>4.2434110104813266E-2</v>
      </c>
      <c r="R31" s="196">
        <f t="shared" si="12"/>
        <v>4.4164037854889593E-2</v>
      </c>
      <c r="S31" s="196">
        <f t="shared" si="12"/>
        <v>4.5385163325531698E-2</v>
      </c>
      <c r="T31" s="196">
        <f t="shared" si="12"/>
        <v>4.6911570163834335E-2</v>
      </c>
      <c r="U31" s="196">
        <f t="shared" si="12"/>
        <v>2.7373562633560597E-2</v>
      </c>
      <c r="V31" s="196">
        <f t="shared" si="12"/>
        <v>2.7678844001221125E-2</v>
      </c>
      <c r="W31" s="196">
        <f t="shared" si="12"/>
        <v>2.8492927648315864E-2</v>
      </c>
      <c r="X31" s="196">
        <f t="shared" si="12"/>
        <v>2.8899969471863234E-2</v>
      </c>
      <c r="Y31" s="196">
        <f t="shared" si="12"/>
        <v>2.951053220718429E-2</v>
      </c>
      <c r="Z31" s="196">
        <f t="shared" si="12"/>
        <v>1.0786608324005291E-2</v>
      </c>
      <c r="AA31" s="196">
        <f t="shared" si="12"/>
        <v>1.1091889691665819E-2</v>
      </c>
      <c r="AB31" s="196">
        <f t="shared" si="12"/>
        <v>1.160069197110003E-2</v>
      </c>
      <c r="AC31" s="196">
        <f t="shared" si="12"/>
        <v>1.20077337946474E-2</v>
      </c>
      <c r="AD31" s="196">
        <f t="shared" si="12"/>
        <v>1.2313015162307928E-2</v>
      </c>
      <c r="AE31" s="196">
        <f t="shared" si="12"/>
        <v>0</v>
      </c>
      <c r="AF31" s="196">
        <f t="shared" si="12"/>
        <v>0</v>
      </c>
    </row>
  </sheetData>
  <sheetProtection algorithmName="SHA-512" hashValue="U53ESKCZLItc/GIdITdhbN/iRMD1TmdUKk0cLgiW3jSA4grrE18it90K6U/FsgMwJKoPwPSexzpnQLYg4ZaCrA==" saltValue="tD5THCQzz8b6ZyfBuHMhS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13F98-1FEF-4A96-A2DF-96963C6A1732}">
  <sheetPr>
    <tabColor theme="9" tint="0.59999389629810485"/>
  </sheetPr>
  <dimension ref="A1:AO1052"/>
  <sheetViews>
    <sheetView workbookViewId="0">
      <selection activeCell="G5" sqref="G5"/>
    </sheetView>
  </sheetViews>
  <sheetFormatPr defaultRowHeight="14.4" x14ac:dyDescent="0.3"/>
  <cols>
    <col min="1" max="1" width="12.44140625" customWidth="1"/>
    <col min="3" max="3" width="11" bestFit="1" customWidth="1"/>
    <col min="10" max="10" width="9.109375" style="14"/>
    <col min="11" max="11" width="15.44140625" customWidth="1"/>
    <col min="15" max="15" width="11.5546875" bestFit="1" customWidth="1"/>
    <col min="17" max="17" width="10.5546875" bestFit="1" customWidth="1"/>
    <col min="18" max="18" width="11.5546875" bestFit="1" customWidth="1"/>
    <col min="20" max="20" width="13.44140625" bestFit="1" customWidth="1"/>
    <col min="21" max="21" width="11.5546875" bestFit="1" customWidth="1"/>
    <col min="22" max="22" width="14.6640625" bestFit="1" customWidth="1"/>
    <col min="23" max="23" width="18.6640625" customWidth="1"/>
  </cols>
  <sheetData>
    <row r="1" spans="1:23" s="1" customFormat="1" ht="96.6" x14ac:dyDescent="0.3">
      <c r="A1" s="191" t="s">
        <v>0</v>
      </c>
      <c r="B1" s="192" t="s">
        <v>1</v>
      </c>
      <c r="C1" s="192" t="s">
        <v>2</v>
      </c>
      <c r="D1" s="191" t="s">
        <v>3</v>
      </c>
      <c r="E1" s="191" t="s">
        <v>4</v>
      </c>
      <c r="F1" s="191" t="s">
        <v>5</v>
      </c>
      <c r="G1" s="191" t="s">
        <v>6</v>
      </c>
      <c r="H1" s="191" t="s">
        <v>7</v>
      </c>
      <c r="I1" s="191" t="s">
        <v>8</v>
      </c>
      <c r="J1" s="193" t="s">
        <v>9</v>
      </c>
      <c r="K1" s="191" t="s">
        <v>10</v>
      </c>
      <c r="L1" s="191" t="s">
        <v>11</v>
      </c>
      <c r="M1" s="194" t="s">
        <v>12</v>
      </c>
      <c r="N1" s="194" t="s">
        <v>13</v>
      </c>
      <c r="O1" s="195" t="s">
        <v>14</v>
      </c>
      <c r="P1" s="195" t="s">
        <v>15</v>
      </c>
      <c r="Q1" s="195" t="s">
        <v>16</v>
      </c>
      <c r="R1" s="195" t="s">
        <v>17</v>
      </c>
      <c r="S1" s="195" t="s">
        <v>18</v>
      </c>
      <c r="T1" s="195" t="s">
        <v>19</v>
      </c>
      <c r="U1" s="195" t="s">
        <v>20</v>
      </c>
      <c r="V1" s="190" t="s">
        <v>87</v>
      </c>
      <c r="W1" s="190" t="s">
        <v>128</v>
      </c>
    </row>
    <row r="2" spans="1:23" x14ac:dyDescent="0.3">
      <c r="A2" s="2" t="s">
        <v>21</v>
      </c>
      <c r="B2" s="2">
        <v>1.01</v>
      </c>
      <c r="C2" s="2">
        <v>2000480831</v>
      </c>
      <c r="D2" s="2">
        <v>50.6</v>
      </c>
      <c r="E2" s="2"/>
      <c r="F2" s="2">
        <v>600</v>
      </c>
      <c r="G2" s="2">
        <v>975</v>
      </c>
      <c r="H2" s="2"/>
      <c r="I2" s="2"/>
      <c r="J2" s="3">
        <f>IF(A2="Upgrade",IF(OR(H2=4,H2=5),VLOOKUP(I2,'Renewal Rates'!$A$22:$B$27,2,FALSE),2.7%),IF(A2="Renewal",100%,0%))</f>
        <v>2.7000000000000003E-2</v>
      </c>
      <c r="K2" s="2" t="s">
        <v>22</v>
      </c>
      <c r="L2" s="2">
        <v>376</v>
      </c>
      <c r="M2" s="2" t="s">
        <v>23</v>
      </c>
      <c r="N2" s="2" t="s">
        <v>24</v>
      </c>
      <c r="O2" s="4">
        <v>374729</v>
      </c>
      <c r="P2" s="4">
        <v>7403</v>
      </c>
      <c r="Q2" s="4">
        <v>127408</v>
      </c>
      <c r="R2" s="4">
        <v>502137</v>
      </c>
      <c r="S2" s="5">
        <v>0.4</v>
      </c>
      <c r="T2" s="4">
        <v>200855</v>
      </c>
      <c r="U2" s="4">
        <v>702992</v>
      </c>
      <c r="V2" s="6">
        <f>J2*U2</f>
        <v>18980.784000000003</v>
      </c>
      <c r="W2" s="6">
        <f>U2-V2</f>
        <v>684011.21600000001</v>
      </c>
    </row>
    <row r="3" spans="1:23" x14ac:dyDescent="0.3">
      <c r="A3" s="2" t="s">
        <v>25</v>
      </c>
      <c r="B3" s="2">
        <v>1.008</v>
      </c>
      <c r="C3" s="2"/>
      <c r="D3" s="2"/>
      <c r="E3" s="2">
        <v>123</v>
      </c>
      <c r="F3" s="2"/>
      <c r="G3" s="2">
        <v>375</v>
      </c>
      <c r="H3" s="2"/>
      <c r="I3" s="2"/>
      <c r="J3" s="3">
        <f>IF(A3="Upgrade",IF(OR(H3=4,H3=5),VLOOKUP(I3,'Renewal Rates'!$A$22:$B$27,2,FALSE),2.7%),IF(A3="Renewal",100%,0%))</f>
        <v>0</v>
      </c>
      <c r="K3" s="2" t="s">
        <v>22</v>
      </c>
      <c r="L3" s="2">
        <v>376</v>
      </c>
      <c r="M3" s="2" t="s">
        <v>23</v>
      </c>
      <c r="N3" s="2" t="s">
        <v>24</v>
      </c>
      <c r="O3" s="4">
        <v>253249</v>
      </c>
      <c r="P3" s="4">
        <v>2059</v>
      </c>
      <c r="Q3" s="4">
        <v>86105</v>
      </c>
      <c r="R3" s="4">
        <v>339353</v>
      </c>
      <c r="S3" s="5">
        <v>0.4</v>
      </c>
      <c r="T3" s="4">
        <v>135741</v>
      </c>
      <c r="U3" s="4">
        <v>475095</v>
      </c>
      <c r="V3" s="6">
        <f t="shared" ref="V3:V66" si="0">J3*U3</f>
        <v>0</v>
      </c>
      <c r="W3" s="6">
        <f t="shared" ref="W3:W66" si="1">U3-V3</f>
        <v>475095</v>
      </c>
    </row>
    <row r="4" spans="1:23" x14ac:dyDescent="0.3">
      <c r="A4" s="2" t="s">
        <v>21</v>
      </c>
      <c r="B4" s="2">
        <v>1.014</v>
      </c>
      <c r="C4" s="2">
        <v>2000085101</v>
      </c>
      <c r="D4" s="2">
        <v>29.6</v>
      </c>
      <c r="E4" s="2"/>
      <c r="F4" s="2">
        <v>600</v>
      </c>
      <c r="G4" s="2">
        <v>825</v>
      </c>
      <c r="H4" s="2"/>
      <c r="I4" s="2"/>
      <c r="J4" s="3">
        <f>IF(A4="Upgrade",IF(OR(H4=4,H4=5),VLOOKUP(I4,'Renewal Rates'!$A$22:$B$27,2,FALSE),2.7%),IF(A4="Renewal",100%,0%))</f>
        <v>2.7000000000000003E-2</v>
      </c>
      <c r="K4" s="2" t="s">
        <v>22</v>
      </c>
      <c r="L4" s="2">
        <v>376</v>
      </c>
      <c r="M4" s="2" t="s">
        <v>23</v>
      </c>
      <c r="N4" s="2" t="s">
        <v>24</v>
      </c>
      <c r="O4" s="4">
        <v>152539</v>
      </c>
      <c r="P4" s="4">
        <v>5149</v>
      </c>
      <c r="Q4" s="4">
        <v>51863</v>
      </c>
      <c r="R4" s="4">
        <v>204403</v>
      </c>
      <c r="S4" s="5">
        <v>0.4</v>
      </c>
      <c r="T4" s="4">
        <v>81761</v>
      </c>
      <c r="U4" s="4">
        <v>286164</v>
      </c>
      <c r="V4" s="6">
        <f t="shared" si="0"/>
        <v>7726.4280000000008</v>
      </c>
      <c r="W4" s="6">
        <f t="shared" si="1"/>
        <v>278437.57199999999</v>
      </c>
    </row>
    <row r="5" spans="1:23" x14ac:dyDescent="0.3">
      <c r="A5" s="2" t="s">
        <v>21</v>
      </c>
      <c r="B5" s="2">
        <v>1.014</v>
      </c>
      <c r="C5" s="2">
        <v>2000212994</v>
      </c>
      <c r="D5" s="2">
        <v>67.7</v>
      </c>
      <c r="E5" s="2"/>
      <c r="F5" s="2">
        <v>450</v>
      </c>
      <c r="G5" s="2">
        <v>825</v>
      </c>
      <c r="H5" s="2"/>
      <c r="I5" s="2"/>
      <c r="J5" s="3">
        <f>IF(A5="Upgrade",IF(OR(H5=4,H5=5),VLOOKUP(I5,'Renewal Rates'!$A$22:$B$27,2,FALSE),2.7%),IF(A5="Renewal",100%,0%))</f>
        <v>2.7000000000000003E-2</v>
      </c>
      <c r="K5" s="2" t="s">
        <v>22</v>
      </c>
      <c r="L5" s="2">
        <v>376</v>
      </c>
      <c r="M5" s="2" t="s">
        <v>23</v>
      </c>
      <c r="N5" s="2" t="s">
        <v>24</v>
      </c>
      <c r="O5" s="4">
        <v>312276</v>
      </c>
      <c r="P5" s="4">
        <v>4616</v>
      </c>
      <c r="Q5" s="4">
        <v>106174</v>
      </c>
      <c r="R5" s="4">
        <v>418450</v>
      </c>
      <c r="S5" s="5">
        <v>0.4</v>
      </c>
      <c r="T5" s="4">
        <v>167380</v>
      </c>
      <c r="U5" s="4">
        <v>585830</v>
      </c>
      <c r="V5" s="6">
        <f t="shared" si="0"/>
        <v>15817.410000000002</v>
      </c>
      <c r="W5" s="6">
        <f t="shared" si="1"/>
        <v>570012.59</v>
      </c>
    </row>
    <row r="6" spans="1:23" x14ac:dyDescent="0.3">
      <c r="A6" s="2" t="s">
        <v>21</v>
      </c>
      <c r="B6" s="2">
        <v>1.018</v>
      </c>
      <c r="C6" s="2">
        <v>2000212079</v>
      </c>
      <c r="D6" s="2">
        <v>57.2</v>
      </c>
      <c r="E6" s="2"/>
      <c r="F6" s="2">
        <v>450</v>
      </c>
      <c r="G6" s="2">
        <v>675</v>
      </c>
      <c r="H6" s="2"/>
      <c r="I6" s="2"/>
      <c r="J6" s="3">
        <f>IF(A6="Upgrade",IF(OR(H6=4,H6=5),VLOOKUP(I6,'Renewal Rates'!$A$22:$B$27,2,FALSE),2.7%),IF(A6="Renewal",100%,0%))</f>
        <v>2.7000000000000003E-2</v>
      </c>
      <c r="K6" s="2" t="s">
        <v>22</v>
      </c>
      <c r="L6" s="2">
        <v>376</v>
      </c>
      <c r="M6" s="2" t="s">
        <v>23</v>
      </c>
      <c r="N6" s="2" t="s">
        <v>24</v>
      </c>
      <c r="O6" s="4">
        <v>240570</v>
      </c>
      <c r="P6" s="4">
        <v>4207</v>
      </c>
      <c r="Q6" s="4">
        <v>81794</v>
      </c>
      <c r="R6" s="4">
        <v>322364</v>
      </c>
      <c r="S6" s="5">
        <v>0.4</v>
      </c>
      <c r="T6" s="4">
        <v>128946</v>
      </c>
      <c r="U6" s="4">
        <v>451310</v>
      </c>
      <c r="V6" s="6">
        <f t="shared" si="0"/>
        <v>12185.37</v>
      </c>
      <c r="W6" s="6">
        <f t="shared" si="1"/>
        <v>439124.63</v>
      </c>
    </row>
    <row r="7" spans="1:23" x14ac:dyDescent="0.3">
      <c r="A7" s="2" t="s">
        <v>21</v>
      </c>
      <c r="B7" s="2">
        <v>1.018</v>
      </c>
      <c r="C7" s="2">
        <v>2000612766</v>
      </c>
      <c r="D7" s="2">
        <v>70.2</v>
      </c>
      <c r="E7" s="2"/>
      <c r="F7" s="2">
        <v>450</v>
      </c>
      <c r="G7" s="2">
        <v>675</v>
      </c>
      <c r="H7" s="2">
        <v>4</v>
      </c>
      <c r="I7" s="2">
        <v>2</v>
      </c>
      <c r="J7" s="3">
        <f>IF(A7="Upgrade",IF(OR(H7=4,H7=5),VLOOKUP(I7,'Renewal Rates'!$A$22:$B$27,2,FALSE),2.7%),IF(A7="Renewal",100%,0%))</f>
        <v>0</v>
      </c>
      <c r="K7" s="2" t="s">
        <v>22</v>
      </c>
      <c r="L7" s="2">
        <v>376</v>
      </c>
      <c r="M7" s="2" t="s">
        <v>23</v>
      </c>
      <c r="N7" s="2" t="s">
        <v>24</v>
      </c>
      <c r="O7" s="4">
        <v>275559</v>
      </c>
      <c r="P7" s="4">
        <v>3927</v>
      </c>
      <c r="Q7" s="4">
        <v>93690</v>
      </c>
      <c r="R7" s="4">
        <v>369249</v>
      </c>
      <c r="S7" s="5">
        <v>0.4</v>
      </c>
      <c r="T7" s="4">
        <v>147700</v>
      </c>
      <c r="U7" s="4">
        <v>516948</v>
      </c>
      <c r="V7" s="6">
        <f t="shared" si="0"/>
        <v>0</v>
      </c>
      <c r="W7" s="6">
        <f t="shared" si="1"/>
        <v>516948</v>
      </c>
    </row>
    <row r="8" spans="1:23" x14ac:dyDescent="0.3">
      <c r="A8" s="2" t="s">
        <v>21</v>
      </c>
      <c r="B8" s="2">
        <v>1.018</v>
      </c>
      <c r="C8" s="2">
        <v>2000531269</v>
      </c>
      <c r="D8" s="2">
        <v>56.1</v>
      </c>
      <c r="E8" s="2"/>
      <c r="F8" s="2">
        <v>375</v>
      </c>
      <c r="G8" s="2">
        <v>675</v>
      </c>
      <c r="H8" s="2">
        <v>4</v>
      </c>
      <c r="I8" s="2">
        <v>3</v>
      </c>
      <c r="J8" s="3">
        <f>IF(A8="Upgrade",IF(OR(H8=4,H8=5),VLOOKUP(I8,'Renewal Rates'!$A$22:$B$27,2,FALSE),2.7%),IF(A8="Renewal",100%,0%))</f>
        <v>0.21</v>
      </c>
      <c r="K8" s="2" t="s">
        <v>22</v>
      </c>
      <c r="L8" s="2">
        <v>376</v>
      </c>
      <c r="M8" s="2" t="s">
        <v>23</v>
      </c>
      <c r="N8" s="2" t="s">
        <v>24</v>
      </c>
      <c r="O8" s="4">
        <v>239285</v>
      </c>
      <c r="P8" s="4">
        <v>4265</v>
      </c>
      <c r="Q8" s="4">
        <v>81357</v>
      </c>
      <c r="R8" s="4">
        <v>320642</v>
      </c>
      <c r="S8" s="5">
        <v>0.4</v>
      </c>
      <c r="T8" s="4">
        <v>128257</v>
      </c>
      <c r="U8" s="4">
        <v>448899</v>
      </c>
      <c r="V8" s="6">
        <f t="shared" si="0"/>
        <v>94268.79</v>
      </c>
      <c r="W8" s="6">
        <f t="shared" si="1"/>
        <v>354630.21</v>
      </c>
    </row>
    <row r="9" spans="1:23" x14ac:dyDescent="0.3">
      <c r="A9" s="2" t="s">
        <v>21</v>
      </c>
      <c r="B9" s="2">
        <v>1.0169999999999999</v>
      </c>
      <c r="C9" s="2">
        <v>2000762257</v>
      </c>
      <c r="D9" s="2">
        <v>83.3</v>
      </c>
      <c r="E9" s="2"/>
      <c r="F9" s="2">
        <v>300</v>
      </c>
      <c r="G9" s="2">
        <v>675</v>
      </c>
      <c r="H9" s="2"/>
      <c r="I9" s="2"/>
      <c r="J9" s="3">
        <f>IF(A9="Upgrade",IF(OR(H9=4,H9=5),VLOOKUP(I9,'Renewal Rates'!$A$22:$B$27,2,FALSE),2.7%),IF(A9="Renewal",100%,0%))</f>
        <v>2.7000000000000003E-2</v>
      </c>
      <c r="K9" s="2" t="s">
        <v>22</v>
      </c>
      <c r="L9" s="2">
        <v>376</v>
      </c>
      <c r="M9" s="2" t="s">
        <v>23</v>
      </c>
      <c r="N9" s="2" t="s">
        <v>24</v>
      </c>
      <c r="O9" s="4">
        <v>310644</v>
      </c>
      <c r="P9" s="4">
        <v>3731</v>
      </c>
      <c r="Q9" s="4">
        <v>105619</v>
      </c>
      <c r="R9" s="4">
        <v>416263</v>
      </c>
      <c r="S9" s="5">
        <v>0.4</v>
      </c>
      <c r="T9" s="4">
        <v>166505</v>
      </c>
      <c r="U9" s="4">
        <v>582768</v>
      </c>
      <c r="V9" s="6">
        <f t="shared" si="0"/>
        <v>15734.736000000003</v>
      </c>
      <c r="W9" s="6">
        <f t="shared" si="1"/>
        <v>567033.26399999997</v>
      </c>
    </row>
    <row r="10" spans="1:23" x14ac:dyDescent="0.3">
      <c r="A10" s="2" t="s">
        <v>21</v>
      </c>
      <c r="B10" s="2">
        <v>1.016</v>
      </c>
      <c r="C10" s="2">
        <v>3000193994</v>
      </c>
      <c r="D10" s="2">
        <v>36</v>
      </c>
      <c r="E10" s="2"/>
      <c r="F10" s="2">
        <v>225</v>
      </c>
      <c r="G10" s="2">
        <v>600</v>
      </c>
      <c r="H10" s="2"/>
      <c r="I10" s="2"/>
      <c r="J10" s="3">
        <f>IF(A10="Upgrade",IF(OR(H10=4,H10=5),VLOOKUP(I10,'Renewal Rates'!$A$22:$B$27,2,FALSE),2.7%),IF(A10="Renewal",100%,0%))</f>
        <v>2.7000000000000003E-2</v>
      </c>
      <c r="K10" s="2" t="s">
        <v>22</v>
      </c>
      <c r="L10" s="2">
        <v>376</v>
      </c>
      <c r="M10" s="2" t="s">
        <v>23</v>
      </c>
      <c r="N10" s="2" t="s">
        <v>24</v>
      </c>
      <c r="O10" s="4">
        <v>139004</v>
      </c>
      <c r="P10" s="4">
        <v>3861</v>
      </c>
      <c r="Q10" s="4">
        <v>47261</v>
      </c>
      <c r="R10" s="4">
        <v>186265</v>
      </c>
      <c r="S10" s="5">
        <v>0.4</v>
      </c>
      <c r="T10" s="4">
        <v>74506</v>
      </c>
      <c r="U10" s="4">
        <v>260771</v>
      </c>
      <c r="V10" s="6">
        <f t="shared" si="0"/>
        <v>7040.8170000000009</v>
      </c>
      <c r="W10" s="6">
        <f t="shared" si="1"/>
        <v>253730.18299999999</v>
      </c>
    </row>
    <row r="11" spans="1:23" x14ac:dyDescent="0.3">
      <c r="A11" s="2" t="s">
        <v>21</v>
      </c>
      <c r="B11" s="2">
        <v>1.016</v>
      </c>
      <c r="C11" s="2">
        <v>2000132056</v>
      </c>
      <c r="D11" s="2">
        <v>37.9</v>
      </c>
      <c r="E11" s="2"/>
      <c r="F11" s="2">
        <v>225</v>
      </c>
      <c r="G11" s="2">
        <v>600</v>
      </c>
      <c r="H11" s="2"/>
      <c r="I11" s="2"/>
      <c r="J11" s="3">
        <f>IF(A11="Upgrade",IF(OR(H11=4,H11=5),VLOOKUP(I11,'Renewal Rates'!$A$22:$B$27,2,FALSE),2.7%),IF(A11="Renewal",100%,0%))</f>
        <v>2.7000000000000003E-2</v>
      </c>
      <c r="K11" s="2" t="s">
        <v>22</v>
      </c>
      <c r="L11" s="2">
        <v>376</v>
      </c>
      <c r="M11" s="2" t="s">
        <v>23</v>
      </c>
      <c r="N11" s="2" t="s">
        <v>24</v>
      </c>
      <c r="O11" s="4">
        <v>140936</v>
      </c>
      <c r="P11" s="4">
        <v>3722</v>
      </c>
      <c r="Q11" s="4">
        <v>47918</v>
      </c>
      <c r="R11" s="4">
        <v>188855</v>
      </c>
      <c r="S11" s="5">
        <v>0.4</v>
      </c>
      <c r="T11" s="4">
        <v>75542</v>
      </c>
      <c r="U11" s="4">
        <v>264396</v>
      </c>
      <c r="V11" s="6">
        <f t="shared" si="0"/>
        <v>7138.6920000000009</v>
      </c>
      <c r="W11" s="6">
        <f t="shared" si="1"/>
        <v>257257.30799999999</v>
      </c>
    </row>
    <row r="12" spans="1:23" x14ac:dyDescent="0.3">
      <c r="A12" s="2" t="s">
        <v>21</v>
      </c>
      <c r="B12" s="2">
        <v>1.0089999999999999</v>
      </c>
      <c r="C12" s="2">
        <v>2000009226</v>
      </c>
      <c r="D12" s="2">
        <v>71.400000000000006</v>
      </c>
      <c r="E12" s="2"/>
      <c r="F12" s="2">
        <v>450</v>
      </c>
      <c r="G12" s="2">
        <v>750</v>
      </c>
      <c r="H12" s="2"/>
      <c r="I12" s="2"/>
      <c r="J12" s="3">
        <f>IF(A12="Upgrade",IF(OR(H12=4,H12=5),VLOOKUP(I12,'Renewal Rates'!$A$22:$B$27,2,FALSE),2.7%),IF(A12="Renewal",100%,0%))</f>
        <v>2.7000000000000003E-2</v>
      </c>
      <c r="K12" s="2" t="s">
        <v>22</v>
      </c>
      <c r="L12" s="2">
        <v>376</v>
      </c>
      <c r="M12" s="2" t="s">
        <v>23</v>
      </c>
      <c r="N12" s="2" t="s">
        <v>24</v>
      </c>
      <c r="O12" s="4">
        <v>330614</v>
      </c>
      <c r="P12" s="4">
        <v>4629</v>
      </c>
      <c r="Q12" s="4">
        <v>112409</v>
      </c>
      <c r="R12" s="4">
        <v>443023</v>
      </c>
      <c r="S12" s="5">
        <v>0.4</v>
      </c>
      <c r="T12" s="4">
        <v>177209</v>
      </c>
      <c r="U12" s="4">
        <v>620232</v>
      </c>
      <c r="V12" s="6">
        <f t="shared" si="0"/>
        <v>16746.264000000003</v>
      </c>
      <c r="W12" s="6">
        <f t="shared" si="1"/>
        <v>603485.73600000003</v>
      </c>
    </row>
    <row r="13" spans="1:23" x14ac:dyDescent="0.3">
      <c r="A13" s="2" t="s">
        <v>21</v>
      </c>
      <c r="B13" s="2">
        <v>1.0089999999999999</v>
      </c>
      <c r="C13" s="2">
        <v>3000092542</v>
      </c>
      <c r="D13" s="2">
        <v>12.5</v>
      </c>
      <c r="E13" s="2"/>
      <c r="F13" s="2">
        <v>450</v>
      </c>
      <c r="G13" s="2">
        <v>750</v>
      </c>
      <c r="H13" s="2"/>
      <c r="I13" s="2"/>
      <c r="J13" s="3">
        <f>IF(A13="Upgrade",IF(OR(H13=4,H13=5),VLOOKUP(I13,'Renewal Rates'!$A$22:$B$27,2,FALSE),2.7%),IF(A13="Renewal",100%,0%))</f>
        <v>2.7000000000000003E-2</v>
      </c>
      <c r="K13" s="2" t="s">
        <v>22</v>
      </c>
      <c r="L13" s="2">
        <v>376</v>
      </c>
      <c r="M13" s="2" t="s">
        <v>23</v>
      </c>
      <c r="N13" s="2" t="s">
        <v>24</v>
      </c>
      <c r="O13" s="4">
        <v>86048</v>
      </c>
      <c r="P13" s="4">
        <v>6857</v>
      </c>
      <c r="Q13" s="4">
        <v>29256</v>
      </c>
      <c r="R13" s="4">
        <v>115304</v>
      </c>
      <c r="S13" s="5">
        <v>0.4</v>
      </c>
      <c r="T13" s="4">
        <v>46122</v>
      </c>
      <c r="U13" s="4">
        <v>161426</v>
      </c>
      <c r="V13" s="6">
        <f t="shared" si="0"/>
        <v>4358.5020000000004</v>
      </c>
      <c r="W13" s="6">
        <f t="shared" si="1"/>
        <v>157067.49799999999</v>
      </c>
    </row>
    <row r="14" spans="1:23" x14ac:dyDescent="0.3">
      <c r="A14" s="2" t="s">
        <v>25</v>
      </c>
      <c r="B14" s="2">
        <v>1.0049999999999999</v>
      </c>
      <c r="C14" s="2"/>
      <c r="D14" s="2"/>
      <c r="E14" s="2">
        <v>150</v>
      </c>
      <c r="F14" s="2"/>
      <c r="G14" s="2">
        <v>750</v>
      </c>
      <c r="H14" s="2"/>
      <c r="I14" s="2"/>
      <c r="J14" s="3">
        <f>IF(A14="Upgrade",IF(OR(H14=4,H14=5),VLOOKUP(I14,'Renewal Rates'!$A$22:$B$27,2,FALSE),2.7%),IF(A14="Renewal",100%,0%))</f>
        <v>0</v>
      </c>
      <c r="K14" s="2" t="s">
        <v>22</v>
      </c>
      <c r="L14" s="2">
        <v>376</v>
      </c>
      <c r="M14" s="2" t="s">
        <v>23</v>
      </c>
      <c r="N14" s="2" t="s">
        <v>24</v>
      </c>
      <c r="O14" s="4">
        <v>594039</v>
      </c>
      <c r="P14" s="4">
        <v>3961</v>
      </c>
      <c r="Q14" s="4">
        <v>201973</v>
      </c>
      <c r="R14" s="4">
        <v>796013</v>
      </c>
      <c r="S14" s="5">
        <v>0.4</v>
      </c>
      <c r="T14" s="4">
        <v>318405</v>
      </c>
      <c r="U14" s="4">
        <v>1114418</v>
      </c>
      <c r="V14" s="6">
        <f t="shared" si="0"/>
        <v>0</v>
      </c>
      <c r="W14" s="6">
        <f t="shared" si="1"/>
        <v>1114418</v>
      </c>
    </row>
    <row r="15" spans="1:23" x14ac:dyDescent="0.3">
      <c r="A15" s="2" t="s">
        <v>25</v>
      </c>
      <c r="B15" s="2">
        <v>1.004</v>
      </c>
      <c r="C15" s="2"/>
      <c r="D15" s="2"/>
      <c r="E15" s="2">
        <v>96.8</v>
      </c>
      <c r="F15" s="2"/>
      <c r="G15" s="2">
        <v>600</v>
      </c>
      <c r="H15" s="2"/>
      <c r="I15" s="2"/>
      <c r="J15" s="3">
        <f>IF(A15="Upgrade",IF(OR(H15=4,H15=5),VLOOKUP(I15,'Renewal Rates'!$A$22:$B$27,2,FALSE),2.7%),IF(A15="Renewal",100%,0%))</f>
        <v>0</v>
      </c>
      <c r="K15" s="2" t="s">
        <v>22</v>
      </c>
      <c r="L15" s="2">
        <v>376</v>
      </c>
      <c r="M15" s="2" t="s">
        <v>23</v>
      </c>
      <c r="N15" s="2" t="s">
        <v>24</v>
      </c>
      <c r="O15" s="4">
        <v>317442</v>
      </c>
      <c r="P15" s="4">
        <v>3281</v>
      </c>
      <c r="Q15" s="4">
        <v>107930</v>
      </c>
      <c r="R15" s="4">
        <v>425373</v>
      </c>
      <c r="S15" s="5">
        <v>0.4</v>
      </c>
      <c r="T15" s="4">
        <v>170149</v>
      </c>
      <c r="U15" s="4">
        <v>595522</v>
      </c>
      <c r="V15" s="6">
        <f t="shared" si="0"/>
        <v>0</v>
      </c>
      <c r="W15" s="6">
        <f t="shared" si="1"/>
        <v>595522</v>
      </c>
    </row>
    <row r="16" spans="1:23" x14ac:dyDescent="0.3">
      <c r="A16" s="2" t="s">
        <v>21</v>
      </c>
      <c r="B16" s="2">
        <v>1.0149999999999999</v>
      </c>
      <c r="C16" s="2">
        <v>2000535507</v>
      </c>
      <c r="D16" s="2">
        <v>56.2</v>
      </c>
      <c r="E16" s="2"/>
      <c r="F16" s="2">
        <v>450</v>
      </c>
      <c r="G16" s="2">
        <v>750</v>
      </c>
      <c r="H16" s="2"/>
      <c r="I16" s="2"/>
      <c r="J16" s="3">
        <f>IF(A16="Upgrade",IF(OR(H16=4,H16=5),VLOOKUP(I16,'Renewal Rates'!$A$22:$B$27,2,FALSE),2.7%),IF(A16="Renewal",100%,0%))</f>
        <v>2.7000000000000003E-2</v>
      </c>
      <c r="K16" s="2" t="s">
        <v>22</v>
      </c>
      <c r="L16" s="2">
        <v>376</v>
      </c>
      <c r="M16" s="2" t="s">
        <v>23</v>
      </c>
      <c r="N16" s="2" t="s">
        <v>24</v>
      </c>
      <c r="O16" s="4">
        <v>247664</v>
      </c>
      <c r="P16" s="4">
        <v>4406</v>
      </c>
      <c r="Q16" s="4">
        <v>84206</v>
      </c>
      <c r="R16" s="4">
        <v>331870</v>
      </c>
      <c r="S16" s="5">
        <v>0.4</v>
      </c>
      <c r="T16" s="4">
        <v>132748</v>
      </c>
      <c r="U16" s="4">
        <v>464617</v>
      </c>
      <c r="V16" s="6">
        <f t="shared" si="0"/>
        <v>12544.659000000001</v>
      </c>
      <c r="W16" s="6">
        <f t="shared" si="1"/>
        <v>452072.34100000001</v>
      </c>
    </row>
    <row r="17" spans="1:23" x14ac:dyDescent="0.3">
      <c r="A17" s="2" t="s">
        <v>21</v>
      </c>
      <c r="B17" s="2">
        <v>1.0149999999999999</v>
      </c>
      <c r="C17" s="2">
        <v>2000884078</v>
      </c>
      <c r="D17" s="2">
        <v>52.5</v>
      </c>
      <c r="E17" s="2"/>
      <c r="F17" s="2">
        <v>450</v>
      </c>
      <c r="G17" s="2">
        <v>750</v>
      </c>
      <c r="H17" s="2"/>
      <c r="I17" s="2"/>
      <c r="J17" s="3">
        <f>IF(A17="Upgrade",IF(OR(H17=4,H17=5),VLOOKUP(I17,'Renewal Rates'!$A$22:$B$27,2,FALSE),2.7%),IF(A17="Renewal",100%,0%))</f>
        <v>2.7000000000000003E-2</v>
      </c>
      <c r="K17" s="2" t="s">
        <v>22</v>
      </c>
      <c r="L17" s="2">
        <v>376</v>
      </c>
      <c r="M17" s="2" t="s">
        <v>23</v>
      </c>
      <c r="N17" s="2" t="s">
        <v>24</v>
      </c>
      <c r="O17" s="4">
        <v>242595</v>
      </c>
      <c r="P17" s="4">
        <v>4622</v>
      </c>
      <c r="Q17" s="4">
        <v>82482</v>
      </c>
      <c r="R17" s="4">
        <v>325078</v>
      </c>
      <c r="S17" s="5">
        <v>0.4</v>
      </c>
      <c r="T17" s="4">
        <v>130031</v>
      </c>
      <c r="U17" s="4">
        <v>455109</v>
      </c>
      <c r="V17" s="6">
        <f t="shared" si="0"/>
        <v>12287.943000000001</v>
      </c>
      <c r="W17" s="6">
        <f t="shared" si="1"/>
        <v>442821.05699999997</v>
      </c>
    </row>
    <row r="18" spans="1:23" x14ac:dyDescent="0.3">
      <c r="A18" s="2" t="s">
        <v>21</v>
      </c>
      <c r="B18" s="2">
        <v>1.0149999999999999</v>
      </c>
      <c r="C18" s="2">
        <v>2000571042</v>
      </c>
      <c r="D18" s="2">
        <v>10.9</v>
      </c>
      <c r="E18" s="2"/>
      <c r="F18" s="2">
        <v>450</v>
      </c>
      <c r="G18" s="2">
        <v>750</v>
      </c>
      <c r="H18" s="2"/>
      <c r="I18" s="2"/>
      <c r="J18" s="3">
        <f>IF(A18="Upgrade",IF(OR(H18=4,H18=5),VLOOKUP(I18,'Renewal Rates'!$A$22:$B$27,2,FALSE),2.7%),IF(A18="Renewal",100%,0%))</f>
        <v>2.7000000000000003E-2</v>
      </c>
      <c r="K18" s="2" t="s">
        <v>22</v>
      </c>
      <c r="L18" s="2">
        <v>376</v>
      </c>
      <c r="M18" s="2" t="s">
        <v>23</v>
      </c>
      <c r="N18" s="2" t="s">
        <v>24</v>
      </c>
      <c r="O18" s="4">
        <v>83753</v>
      </c>
      <c r="P18" s="4">
        <v>7711</v>
      </c>
      <c r="Q18" s="4">
        <v>28476</v>
      </c>
      <c r="R18" s="4">
        <v>112229</v>
      </c>
      <c r="S18" s="5">
        <v>0.4</v>
      </c>
      <c r="T18" s="4">
        <v>44891</v>
      </c>
      <c r="U18" s="4">
        <v>157120</v>
      </c>
      <c r="V18" s="6">
        <f t="shared" si="0"/>
        <v>4242.2400000000007</v>
      </c>
      <c r="W18" s="6">
        <f t="shared" si="1"/>
        <v>152877.76000000001</v>
      </c>
    </row>
    <row r="19" spans="1:23" x14ac:dyDescent="0.3">
      <c r="A19" s="2" t="s">
        <v>21</v>
      </c>
      <c r="B19" s="2">
        <v>1.0129999999999999</v>
      </c>
      <c r="C19" s="2">
        <v>2000634015</v>
      </c>
      <c r="D19" s="2">
        <v>32</v>
      </c>
      <c r="E19" s="2"/>
      <c r="F19" s="2">
        <v>450</v>
      </c>
      <c r="G19" s="2">
        <v>675</v>
      </c>
      <c r="H19" s="2"/>
      <c r="I19" s="2"/>
      <c r="J19" s="3">
        <f>IF(A19="Upgrade",IF(OR(H19=4,H19=5),VLOOKUP(I19,'Renewal Rates'!$A$22:$B$27,2,FALSE),2.7%),IF(A19="Renewal",100%,0%))</f>
        <v>2.7000000000000003E-2</v>
      </c>
      <c r="K19" s="2" t="s">
        <v>22</v>
      </c>
      <c r="L19" s="2">
        <v>377</v>
      </c>
      <c r="M19" s="2" t="s">
        <v>23</v>
      </c>
      <c r="N19" s="2" t="s">
        <v>24</v>
      </c>
      <c r="O19" s="4">
        <v>169993</v>
      </c>
      <c r="P19" s="4">
        <v>5315</v>
      </c>
      <c r="Q19" s="4">
        <v>57797</v>
      </c>
      <c r="R19" s="4">
        <v>227790</v>
      </c>
      <c r="S19" s="5">
        <v>0.4</v>
      </c>
      <c r="T19" s="4">
        <v>91116</v>
      </c>
      <c r="U19" s="4">
        <v>318906</v>
      </c>
      <c r="V19" s="6">
        <f t="shared" si="0"/>
        <v>8610.4620000000014</v>
      </c>
      <c r="W19" s="6">
        <f t="shared" si="1"/>
        <v>310295.538</v>
      </c>
    </row>
    <row r="20" spans="1:23" x14ac:dyDescent="0.3">
      <c r="A20" s="2" t="s">
        <v>21</v>
      </c>
      <c r="B20" s="2">
        <v>1.0129999999999999</v>
      </c>
      <c r="C20" s="2">
        <v>2000231831</v>
      </c>
      <c r="D20" s="2">
        <v>41.9</v>
      </c>
      <c r="E20" s="2"/>
      <c r="F20" s="2">
        <v>450</v>
      </c>
      <c r="G20" s="2">
        <v>675</v>
      </c>
      <c r="H20" s="2"/>
      <c r="I20" s="2"/>
      <c r="J20" s="3">
        <f>IF(A20="Upgrade",IF(OR(H20=4,H20=5),VLOOKUP(I20,'Renewal Rates'!$A$22:$B$27,2,FALSE),2.7%),IF(A20="Renewal",100%,0%))</f>
        <v>2.7000000000000003E-2</v>
      </c>
      <c r="K20" s="2" t="s">
        <v>22</v>
      </c>
      <c r="L20" s="2">
        <v>377</v>
      </c>
      <c r="M20" s="2" t="s">
        <v>23</v>
      </c>
      <c r="N20" s="2" t="s">
        <v>24</v>
      </c>
      <c r="O20" s="4">
        <v>177941</v>
      </c>
      <c r="P20" s="4">
        <v>4243</v>
      </c>
      <c r="Q20" s="4">
        <v>60500</v>
      </c>
      <c r="R20" s="4">
        <v>238441</v>
      </c>
      <c r="S20" s="5">
        <v>0.4</v>
      </c>
      <c r="T20" s="4">
        <v>95376</v>
      </c>
      <c r="U20" s="4">
        <v>333817</v>
      </c>
      <c r="V20" s="6">
        <f t="shared" si="0"/>
        <v>9013.0590000000011</v>
      </c>
      <c r="W20" s="6">
        <f t="shared" si="1"/>
        <v>324803.94099999999</v>
      </c>
    </row>
    <row r="21" spans="1:23" x14ac:dyDescent="0.3">
      <c r="A21" s="2" t="s">
        <v>21</v>
      </c>
      <c r="B21" s="2">
        <v>1.0109999999999999</v>
      </c>
      <c r="C21" s="2">
        <v>2000061690</v>
      </c>
      <c r="D21" s="2">
        <v>61.6</v>
      </c>
      <c r="E21" s="2"/>
      <c r="F21" s="2">
        <v>225</v>
      </c>
      <c r="G21" s="2">
        <v>525</v>
      </c>
      <c r="H21" s="2">
        <v>4</v>
      </c>
      <c r="I21" s="2">
        <v>2</v>
      </c>
      <c r="J21" s="3">
        <f>IF(A21="Upgrade",IF(OR(H21=4,H21=5),VLOOKUP(I21,'Renewal Rates'!$A$22:$B$27,2,FALSE),2.7%),IF(A21="Renewal",100%,0%))</f>
        <v>0</v>
      </c>
      <c r="K21" s="2" t="s">
        <v>22</v>
      </c>
      <c r="L21" s="2">
        <v>368</v>
      </c>
      <c r="M21" s="2" t="s">
        <v>23</v>
      </c>
      <c r="N21" s="2" t="s">
        <v>24</v>
      </c>
      <c r="O21" s="4">
        <v>194287</v>
      </c>
      <c r="P21" s="4">
        <v>3156</v>
      </c>
      <c r="Q21" s="4">
        <v>66058</v>
      </c>
      <c r="R21" s="4">
        <v>260345</v>
      </c>
      <c r="S21" s="5">
        <v>0.4</v>
      </c>
      <c r="T21" s="4">
        <v>104138</v>
      </c>
      <c r="U21" s="4">
        <v>364483</v>
      </c>
      <c r="V21" s="6">
        <f t="shared" si="0"/>
        <v>0</v>
      </c>
      <c r="W21" s="6">
        <f t="shared" si="1"/>
        <v>364483</v>
      </c>
    </row>
    <row r="22" spans="1:23" x14ac:dyDescent="0.3">
      <c r="A22" s="2" t="s">
        <v>21</v>
      </c>
      <c r="B22" s="2">
        <v>1.0109999999999999</v>
      </c>
      <c r="C22" s="2">
        <v>2000706286</v>
      </c>
      <c r="D22" s="2">
        <v>7.4</v>
      </c>
      <c r="E22" s="2"/>
      <c r="F22" s="2">
        <v>225</v>
      </c>
      <c r="G22" s="2">
        <v>525</v>
      </c>
      <c r="H22" s="2"/>
      <c r="I22" s="2"/>
      <c r="J22" s="3">
        <f>IF(A22="Upgrade",IF(OR(H22=4,H22=5),VLOOKUP(I22,'Renewal Rates'!$A$22:$B$27,2,FALSE),2.7%),IF(A22="Renewal",100%,0%))</f>
        <v>2.7000000000000003E-2</v>
      </c>
      <c r="K22" s="2" t="s">
        <v>22</v>
      </c>
      <c r="L22" s="2">
        <v>368</v>
      </c>
      <c r="M22" s="2" t="s">
        <v>23</v>
      </c>
      <c r="N22" s="2" t="s">
        <v>24</v>
      </c>
      <c r="O22" s="4">
        <v>50361</v>
      </c>
      <c r="P22" s="4">
        <v>6831</v>
      </c>
      <c r="Q22" s="4">
        <v>17123</v>
      </c>
      <c r="R22" s="4">
        <v>67484</v>
      </c>
      <c r="S22" s="5">
        <v>0.4</v>
      </c>
      <c r="T22" s="4">
        <v>26994</v>
      </c>
      <c r="U22" s="4">
        <v>94478</v>
      </c>
      <c r="V22" s="6">
        <f t="shared" si="0"/>
        <v>2550.9060000000004</v>
      </c>
      <c r="W22" s="6">
        <f t="shared" si="1"/>
        <v>91927.093999999997</v>
      </c>
    </row>
    <row r="23" spans="1:23" x14ac:dyDescent="0.3">
      <c r="A23" s="2" t="s">
        <v>25</v>
      </c>
      <c r="B23" s="2">
        <v>1.0029999999999999</v>
      </c>
      <c r="C23" s="2"/>
      <c r="D23" s="2"/>
      <c r="E23" s="2">
        <v>37.799999999999997</v>
      </c>
      <c r="F23" s="2"/>
      <c r="G23" s="2">
        <v>375</v>
      </c>
      <c r="H23" s="2"/>
      <c r="I23" s="2"/>
      <c r="J23" s="3">
        <f>IF(A23="Upgrade",IF(OR(H23=4,H23=5),VLOOKUP(I23,'Renewal Rates'!$A$22:$B$27,2,FALSE),2.7%),IF(A23="Renewal",100%,0%))</f>
        <v>0</v>
      </c>
      <c r="K23" s="2" t="s">
        <v>22</v>
      </c>
      <c r="L23" s="2">
        <v>368</v>
      </c>
      <c r="M23" s="2" t="s">
        <v>23</v>
      </c>
      <c r="N23" s="2" t="s">
        <v>24</v>
      </c>
      <c r="O23" s="4">
        <v>91777</v>
      </c>
      <c r="P23" s="4">
        <v>2429</v>
      </c>
      <c r="Q23" s="4">
        <v>31204</v>
      </c>
      <c r="R23" s="4">
        <v>122982</v>
      </c>
      <c r="S23" s="5">
        <v>0.4</v>
      </c>
      <c r="T23" s="4">
        <v>49193</v>
      </c>
      <c r="U23" s="4">
        <v>172174</v>
      </c>
      <c r="V23" s="6">
        <f t="shared" si="0"/>
        <v>0</v>
      </c>
      <c r="W23" s="6">
        <f t="shared" si="1"/>
        <v>172174</v>
      </c>
    </row>
    <row r="24" spans="1:23" x14ac:dyDescent="0.3">
      <c r="A24" s="2" t="s">
        <v>21</v>
      </c>
      <c r="B24" s="2">
        <v>1.012</v>
      </c>
      <c r="C24" s="2">
        <v>2000751203</v>
      </c>
      <c r="D24" s="2">
        <v>41</v>
      </c>
      <c r="E24" s="2"/>
      <c r="F24" s="2">
        <v>300</v>
      </c>
      <c r="G24" s="2">
        <v>525</v>
      </c>
      <c r="H24" s="2"/>
      <c r="I24" s="2"/>
      <c r="J24" s="3">
        <f>IF(A24="Upgrade",IF(OR(H24=4,H24=5),VLOOKUP(I24,'Renewal Rates'!$A$22:$B$27,2,FALSE),2.7%),IF(A24="Renewal",100%,0%))</f>
        <v>2.7000000000000003E-2</v>
      </c>
      <c r="K24" s="2" t="s">
        <v>22</v>
      </c>
      <c r="L24" s="2">
        <v>368</v>
      </c>
      <c r="M24" s="2" t="s">
        <v>23</v>
      </c>
      <c r="N24" s="2" t="s">
        <v>24</v>
      </c>
      <c r="O24" s="4">
        <v>138026</v>
      </c>
      <c r="P24" s="4">
        <v>3367</v>
      </c>
      <c r="Q24" s="4">
        <v>46929</v>
      </c>
      <c r="R24" s="4">
        <v>184955</v>
      </c>
      <c r="S24" s="5">
        <v>0.4</v>
      </c>
      <c r="T24" s="4">
        <v>73982</v>
      </c>
      <c r="U24" s="4">
        <v>258937</v>
      </c>
      <c r="V24" s="6">
        <f t="shared" si="0"/>
        <v>6991.2990000000009</v>
      </c>
      <c r="W24" s="6">
        <f t="shared" si="1"/>
        <v>251945.701</v>
      </c>
    </row>
    <row r="25" spans="1:23" x14ac:dyDescent="0.3">
      <c r="A25" s="2" t="s">
        <v>21</v>
      </c>
      <c r="B25" s="2">
        <v>1.012</v>
      </c>
      <c r="C25" s="2">
        <v>2000089531</v>
      </c>
      <c r="D25" s="2">
        <v>5.4</v>
      </c>
      <c r="E25" s="2"/>
      <c r="F25" s="2">
        <v>225</v>
      </c>
      <c r="G25" s="2">
        <v>525</v>
      </c>
      <c r="H25" s="2"/>
      <c r="I25" s="2"/>
      <c r="J25" s="3">
        <f>IF(A25="Upgrade",IF(OR(H25=4,H25=5),VLOOKUP(I25,'Renewal Rates'!$A$22:$B$27,2,FALSE),2.7%),IF(A25="Renewal",100%,0%))</f>
        <v>2.7000000000000003E-2</v>
      </c>
      <c r="K25" s="2" t="s">
        <v>22</v>
      </c>
      <c r="L25" s="2">
        <v>368</v>
      </c>
      <c r="M25" s="2" t="s">
        <v>23</v>
      </c>
      <c r="N25" s="2" t="s">
        <v>24</v>
      </c>
      <c r="O25" s="4">
        <v>48675</v>
      </c>
      <c r="P25" s="4">
        <v>8947</v>
      </c>
      <c r="Q25" s="4">
        <v>16550</v>
      </c>
      <c r="R25" s="4">
        <v>65225</v>
      </c>
      <c r="S25" s="5">
        <v>0.4</v>
      </c>
      <c r="T25" s="4">
        <v>26090</v>
      </c>
      <c r="U25" s="4">
        <v>91315</v>
      </c>
      <c r="V25" s="6">
        <f t="shared" si="0"/>
        <v>2465.5050000000001</v>
      </c>
      <c r="W25" s="6">
        <f t="shared" si="1"/>
        <v>88849.494999999995</v>
      </c>
    </row>
    <row r="26" spans="1:23" x14ac:dyDescent="0.3">
      <c r="A26" s="2" t="s">
        <v>25</v>
      </c>
      <c r="B26" s="2">
        <v>1.0009999999999999</v>
      </c>
      <c r="C26" s="2"/>
      <c r="D26" s="2"/>
      <c r="E26" s="2">
        <v>55.5</v>
      </c>
      <c r="F26" s="2"/>
      <c r="G26" s="2">
        <v>450</v>
      </c>
      <c r="H26" s="2"/>
      <c r="I26" s="2"/>
      <c r="J26" s="3">
        <f>IF(A26="Upgrade",IF(OR(H26=4,H26=5),VLOOKUP(I26,'Renewal Rates'!$A$22:$B$27,2,FALSE),2.7%),IF(A26="Renewal",100%,0%))</f>
        <v>0</v>
      </c>
      <c r="K26" s="2" t="s">
        <v>22</v>
      </c>
      <c r="L26" s="2">
        <v>368</v>
      </c>
      <c r="M26" s="2" t="s">
        <v>23</v>
      </c>
      <c r="N26" s="2" t="s">
        <v>24</v>
      </c>
      <c r="O26" s="4">
        <v>161567</v>
      </c>
      <c r="P26" s="4">
        <v>2913</v>
      </c>
      <c r="Q26" s="4">
        <v>54933</v>
      </c>
      <c r="R26" s="4">
        <v>216500</v>
      </c>
      <c r="S26" s="5">
        <v>0.4</v>
      </c>
      <c r="T26" s="4">
        <v>86600</v>
      </c>
      <c r="U26" s="4">
        <v>303100</v>
      </c>
      <c r="V26" s="6">
        <f t="shared" si="0"/>
        <v>0</v>
      </c>
      <c r="W26" s="6">
        <f t="shared" si="1"/>
        <v>303100</v>
      </c>
    </row>
    <row r="27" spans="1:23" x14ac:dyDescent="0.3">
      <c r="A27" s="2" t="s">
        <v>25</v>
      </c>
      <c r="B27" s="2">
        <v>1.002</v>
      </c>
      <c r="C27" s="2"/>
      <c r="D27" s="2"/>
      <c r="E27" s="2">
        <v>75.2</v>
      </c>
      <c r="F27" s="2"/>
      <c r="G27" s="2">
        <v>450</v>
      </c>
      <c r="H27" s="2"/>
      <c r="I27" s="2"/>
      <c r="J27" s="3">
        <f>IF(A27="Upgrade",IF(OR(H27=4,H27=5),VLOOKUP(I27,'Renewal Rates'!$A$22:$B$27,2,FALSE),2.7%),IF(A27="Renewal",100%,0%))</f>
        <v>0</v>
      </c>
      <c r="K27" s="2" t="s">
        <v>22</v>
      </c>
      <c r="L27" s="2">
        <v>368</v>
      </c>
      <c r="M27" s="2" t="s">
        <v>23</v>
      </c>
      <c r="N27" s="2" t="s">
        <v>24</v>
      </c>
      <c r="O27" s="4">
        <v>214489</v>
      </c>
      <c r="P27" s="4">
        <v>2854</v>
      </c>
      <c r="Q27" s="4">
        <v>72926</v>
      </c>
      <c r="R27" s="4">
        <v>287415</v>
      </c>
      <c r="S27" s="5">
        <v>0.4</v>
      </c>
      <c r="T27" s="4">
        <v>114966</v>
      </c>
      <c r="U27" s="4">
        <v>402381</v>
      </c>
      <c r="V27" s="6">
        <f t="shared" si="0"/>
        <v>0</v>
      </c>
      <c r="W27" s="6">
        <f t="shared" si="1"/>
        <v>402381</v>
      </c>
    </row>
    <row r="28" spans="1:23" x14ac:dyDescent="0.3">
      <c r="A28" s="2" t="s">
        <v>25</v>
      </c>
      <c r="B28" s="2">
        <v>1.006</v>
      </c>
      <c r="C28" s="2"/>
      <c r="D28" s="2"/>
      <c r="E28" s="2">
        <v>63.2</v>
      </c>
      <c r="F28" s="2"/>
      <c r="G28" s="2">
        <v>450</v>
      </c>
      <c r="H28" s="2"/>
      <c r="I28" s="2"/>
      <c r="J28" s="3">
        <f>IF(A28="Upgrade",IF(OR(H28=4,H28=5),VLOOKUP(I28,'Renewal Rates'!$A$22:$B$27,2,FALSE),2.7%),IF(A28="Renewal",100%,0%))</f>
        <v>0</v>
      </c>
      <c r="K28" s="2" t="s">
        <v>26</v>
      </c>
      <c r="L28" s="2">
        <v>377</v>
      </c>
      <c r="M28" s="2" t="s">
        <v>23</v>
      </c>
      <c r="N28" s="2" t="s">
        <v>24</v>
      </c>
      <c r="O28" s="4">
        <v>202893</v>
      </c>
      <c r="P28" s="4">
        <v>3211</v>
      </c>
      <c r="Q28" s="4">
        <v>68984</v>
      </c>
      <c r="R28" s="4">
        <v>271876</v>
      </c>
      <c r="S28" s="5">
        <v>0.4</v>
      </c>
      <c r="T28" s="4">
        <v>108751</v>
      </c>
      <c r="U28" s="4">
        <v>380627</v>
      </c>
      <c r="V28" s="6">
        <f t="shared" si="0"/>
        <v>0</v>
      </c>
      <c r="W28" s="6">
        <f t="shared" si="1"/>
        <v>380627</v>
      </c>
    </row>
    <row r="29" spans="1:23" x14ac:dyDescent="0.3">
      <c r="A29" s="2" t="s">
        <v>25</v>
      </c>
      <c r="B29" s="2">
        <v>2.0019999999999998</v>
      </c>
      <c r="C29" s="2"/>
      <c r="D29" s="2"/>
      <c r="E29" s="2">
        <v>62.1</v>
      </c>
      <c r="F29" s="2"/>
      <c r="G29" s="2">
        <v>450</v>
      </c>
      <c r="H29" s="2"/>
      <c r="I29" s="2"/>
      <c r="J29" s="3">
        <f>IF(A29="Upgrade",IF(OR(H29=4,H29=5),VLOOKUP(I29,'Renewal Rates'!$A$22:$B$27,2,FALSE),2.7%),IF(A29="Renewal",100%,0%))</f>
        <v>0</v>
      </c>
      <c r="K29" s="2" t="s">
        <v>22</v>
      </c>
      <c r="L29" s="2">
        <v>376</v>
      </c>
      <c r="M29" s="2" t="s">
        <v>23</v>
      </c>
      <c r="N29" s="2" t="s">
        <v>24</v>
      </c>
      <c r="O29" s="4">
        <v>185728</v>
      </c>
      <c r="P29" s="4">
        <v>2992</v>
      </c>
      <c r="Q29" s="4">
        <v>63148</v>
      </c>
      <c r="R29" s="4">
        <v>248876</v>
      </c>
      <c r="S29" s="5">
        <v>0.4</v>
      </c>
      <c r="T29" s="4">
        <v>99550</v>
      </c>
      <c r="U29" s="4">
        <v>348426</v>
      </c>
      <c r="V29" s="6">
        <f t="shared" si="0"/>
        <v>0</v>
      </c>
      <c r="W29" s="6">
        <f t="shared" si="1"/>
        <v>348426</v>
      </c>
    </row>
    <row r="30" spans="1:23" x14ac:dyDescent="0.3">
      <c r="A30" s="2" t="s">
        <v>21</v>
      </c>
      <c r="B30" s="2">
        <v>2.0110000000000001</v>
      </c>
      <c r="C30" s="2">
        <v>2000063054</v>
      </c>
      <c r="D30" s="2">
        <v>14.2</v>
      </c>
      <c r="E30" s="2"/>
      <c r="F30" s="2">
        <v>300</v>
      </c>
      <c r="G30" s="2">
        <v>525</v>
      </c>
      <c r="H30" s="2"/>
      <c r="I30" s="2"/>
      <c r="J30" s="3">
        <f>IF(A30="Upgrade",IF(OR(H30=4,H30=5),VLOOKUP(I30,'Renewal Rates'!$A$22:$B$27,2,FALSE),2.7%),IF(A30="Renewal",100%,0%))</f>
        <v>2.7000000000000003E-2</v>
      </c>
      <c r="K30" s="2" t="s">
        <v>22</v>
      </c>
      <c r="L30" s="2">
        <v>376</v>
      </c>
      <c r="M30" s="2" t="s">
        <v>23</v>
      </c>
      <c r="N30" s="2" t="s">
        <v>24</v>
      </c>
      <c r="O30" s="4">
        <v>75795</v>
      </c>
      <c r="P30" s="4">
        <v>5322</v>
      </c>
      <c r="Q30" s="4">
        <v>25770</v>
      </c>
      <c r="R30" s="4">
        <v>101565</v>
      </c>
      <c r="S30" s="5">
        <v>0.4</v>
      </c>
      <c r="T30" s="4">
        <v>40626</v>
      </c>
      <c r="U30" s="4">
        <v>142191</v>
      </c>
      <c r="V30" s="6">
        <f t="shared" si="0"/>
        <v>3839.1570000000006</v>
      </c>
      <c r="W30" s="6">
        <f t="shared" si="1"/>
        <v>138351.84299999999</v>
      </c>
    </row>
    <row r="31" spans="1:23" x14ac:dyDescent="0.3">
      <c r="A31" s="2" t="s">
        <v>21</v>
      </c>
      <c r="B31" s="2">
        <v>2.0110000000000001</v>
      </c>
      <c r="C31" s="2">
        <v>2000637383</v>
      </c>
      <c r="D31" s="2">
        <v>18.5</v>
      </c>
      <c r="E31" s="2"/>
      <c r="F31" s="2">
        <v>225</v>
      </c>
      <c r="G31" s="2">
        <v>525</v>
      </c>
      <c r="H31" s="2"/>
      <c r="I31" s="2"/>
      <c r="J31" s="3">
        <f>IF(A31="Upgrade",IF(OR(H31=4,H31=5),VLOOKUP(I31,'Renewal Rates'!$A$22:$B$27,2,FALSE),2.7%),IF(A31="Renewal",100%,0%))</f>
        <v>2.7000000000000003E-2</v>
      </c>
      <c r="K31" s="2" t="s">
        <v>22</v>
      </c>
      <c r="L31" s="2">
        <v>376</v>
      </c>
      <c r="M31" s="2" t="s">
        <v>23</v>
      </c>
      <c r="N31" s="2" t="s">
        <v>24</v>
      </c>
      <c r="O31" s="4">
        <v>79514</v>
      </c>
      <c r="P31" s="4">
        <v>4298</v>
      </c>
      <c r="Q31" s="4">
        <v>27035</v>
      </c>
      <c r="R31" s="4">
        <v>106549</v>
      </c>
      <c r="S31" s="5">
        <v>0.4</v>
      </c>
      <c r="T31" s="4">
        <v>42620</v>
      </c>
      <c r="U31" s="4">
        <v>149168</v>
      </c>
      <c r="V31" s="6">
        <f t="shared" si="0"/>
        <v>4027.5360000000005</v>
      </c>
      <c r="W31" s="6">
        <f t="shared" si="1"/>
        <v>145140.46400000001</v>
      </c>
    </row>
    <row r="32" spans="1:23" x14ac:dyDescent="0.3">
      <c r="A32" s="2" t="s">
        <v>25</v>
      </c>
      <c r="B32" s="2">
        <v>2.0070000000000001</v>
      </c>
      <c r="C32" s="2"/>
      <c r="D32" s="2"/>
      <c r="E32" s="2">
        <v>104</v>
      </c>
      <c r="F32" s="2"/>
      <c r="G32" s="2">
        <v>450</v>
      </c>
      <c r="H32" s="2"/>
      <c r="I32" s="2"/>
      <c r="J32" s="3">
        <f>IF(A32="Upgrade",IF(OR(H32=4,H32=5),VLOOKUP(I32,'Renewal Rates'!$A$22:$B$27,2,FALSE),2.7%),IF(A32="Renewal",100%,0%))</f>
        <v>0</v>
      </c>
      <c r="K32" s="2" t="s">
        <v>22</v>
      </c>
      <c r="L32" s="2">
        <v>376</v>
      </c>
      <c r="M32" s="2" t="s">
        <v>23</v>
      </c>
      <c r="N32" s="2" t="s">
        <v>24</v>
      </c>
      <c r="O32" s="4">
        <v>293245</v>
      </c>
      <c r="P32" s="4">
        <v>2820</v>
      </c>
      <c r="Q32" s="4">
        <v>99703</v>
      </c>
      <c r="R32" s="4">
        <v>392948</v>
      </c>
      <c r="S32" s="5">
        <v>0.4</v>
      </c>
      <c r="T32" s="4">
        <v>157179</v>
      </c>
      <c r="U32" s="4">
        <v>550127</v>
      </c>
      <c r="V32" s="6">
        <f t="shared" si="0"/>
        <v>0</v>
      </c>
      <c r="W32" s="6">
        <f t="shared" si="1"/>
        <v>550127</v>
      </c>
    </row>
    <row r="33" spans="1:23" x14ac:dyDescent="0.3">
      <c r="A33" s="2" t="s">
        <v>21</v>
      </c>
      <c r="B33" s="2">
        <v>2.0089999999999999</v>
      </c>
      <c r="C33" s="2">
        <v>2000070069</v>
      </c>
      <c r="D33" s="2">
        <v>68</v>
      </c>
      <c r="E33" s="2"/>
      <c r="F33" s="2">
        <v>300</v>
      </c>
      <c r="G33" s="2">
        <v>975</v>
      </c>
      <c r="H33" s="2">
        <v>4</v>
      </c>
      <c r="I33" s="2">
        <v>4</v>
      </c>
      <c r="J33" s="3">
        <f>IF(A33="Upgrade",IF(OR(H33=4,H33=5),VLOOKUP(I33,'Renewal Rates'!$A$22:$B$27,2,FALSE),2.7%),IF(A33="Renewal",100%,0%))</f>
        <v>0.7</v>
      </c>
      <c r="K33" s="2" t="s">
        <v>22</v>
      </c>
      <c r="L33" s="2">
        <v>376</v>
      </c>
      <c r="M33" s="2" t="s">
        <v>23</v>
      </c>
      <c r="N33" s="2" t="s">
        <v>24</v>
      </c>
      <c r="O33" s="4">
        <v>475081</v>
      </c>
      <c r="P33" s="4">
        <v>6984</v>
      </c>
      <c r="Q33" s="4">
        <v>161527</v>
      </c>
      <c r="R33" s="4">
        <v>636608</v>
      </c>
      <c r="S33" s="5">
        <v>0.4</v>
      </c>
      <c r="T33" s="4">
        <v>254643</v>
      </c>
      <c r="U33" s="4">
        <v>891252</v>
      </c>
      <c r="V33" s="6">
        <f t="shared" si="0"/>
        <v>623876.39999999991</v>
      </c>
      <c r="W33" s="6">
        <f t="shared" si="1"/>
        <v>267375.60000000009</v>
      </c>
    </row>
    <row r="34" spans="1:23" x14ac:dyDescent="0.3">
      <c r="A34" s="2" t="s">
        <v>21</v>
      </c>
      <c r="B34" s="2">
        <v>2.0089999999999999</v>
      </c>
      <c r="C34" s="2">
        <v>2000236222</v>
      </c>
      <c r="D34" s="2">
        <v>38</v>
      </c>
      <c r="E34" s="2"/>
      <c r="F34" s="2">
        <v>300</v>
      </c>
      <c r="G34" s="2">
        <v>975</v>
      </c>
      <c r="H34" s="2"/>
      <c r="I34" s="2"/>
      <c r="J34" s="3">
        <f>IF(A34="Upgrade",IF(OR(H34=4,H34=5),VLOOKUP(I34,'Renewal Rates'!$A$22:$B$27,2,FALSE),2.7%),IF(A34="Renewal",100%,0%))</f>
        <v>2.7000000000000003E-2</v>
      </c>
      <c r="K34" s="2" t="s">
        <v>22</v>
      </c>
      <c r="L34" s="2">
        <v>376</v>
      </c>
      <c r="M34" s="2" t="s">
        <v>23</v>
      </c>
      <c r="N34" s="2" t="s">
        <v>24</v>
      </c>
      <c r="O34" s="4">
        <v>250951</v>
      </c>
      <c r="P34" s="4">
        <v>6603</v>
      </c>
      <c r="Q34" s="4">
        <v>85323</v>
      </c>
      <c r="R34" s="4">
        <v>336275</v>
      </c>
      <c r="S34" s="5">
        <v>0.4</v>
      </c>
      <c r="T34" s="4">
        <v>134510</v>
      </c>
      <c r="U34" s="4">
        <v>470785</v>
      </c>
      <c r="V34" s="6">
        <f t="shared" si="0"/>
        <v>12711.195000000002</v>
      </c>
      <c r="W34" s="6">
        <f t="shared" si="1"/>
        <v>458073.80499999999</v>
      </c>
    </row>
    <row r="35" spans="1:23" x14ac:dyDescent="0.3">
      <c r="A35" s="2" t="s">
        <v>21</v>
      </c>
      <c r="B35" s="2">
        <v>2.0089999999999999</v>
      </c>
      <c r="C35" s="2">
        <v>2000227010</v>
      </c>
      <c r="D35" s="2">
        <v>61.3</v>
      </c>
      <c r="E35" s="2"/>
      <c r="F35" s="2">
        <v>225</v>
      </c>
      <c r="G35" s="2">
        <v>975</v>
      </c>
      <c r="H35" s="2"/>
      <c r="I35" s="2"/>
      <c r="J35" s="3">
        <f>IF(A35="Upgrade",IF(OR(H35=4,H35=5),VLOOKUP(I35,'Renewal Rates'!$A$22:$B$27,2,FALSE),2.7%),IF(A35="Renewal",100%,0%))</f>
        <v>2.7000000000000003E-2</v>
      </c>
      <c r="K35" s="2" t="s">
        <v>22</v>
      </c>
      <c r="L35" s="2">
        <v>376</v>
      </c>
      <c r="M35" s="2" t="s">
        <v>23</v>
      </c>
      <c r="N35" s="2" t="s">
        <v>24</v>
      </c>
      <c r="O35" s="4">
        <v>400947</v>
      </c>
      <c r="P35" s="4">
        <v>6539</v>
      </c>
      <c r="Q35" s="4">
        <v>136322</v>
      </c>
      <c r="R35" s="4">
        <v>537268</v>
      </c>
      <c r="S35" s="5">
        <v>0.4</v>
      </c>
      <c r="T35" s="4">
        <v>214907</v>
      </c>
      <c r="U35" s="4">
        <v>752176</v>
      </c>
      <c r="V35" s="6">
        <f t="shared" si="0"/>
        <v>20308.752000000004</v>
      </c>
      <c r="W35" s="6">
        <f t="shared" si="1"/>
        <v>731867.24800000002</v>
      </c>
    </row>
    <row r="36" spans="1:23" x14ac:dyDescent="0.3">
      <c r="A36" s="2" t="s">
        <v>21</v>
      </c>
      <c r="B36" s="2">
        <v>2.008</v>
      </c>
      <c r="C36" s="2">
        <v>2000611077</v>
      </c>
      <c r="D36" s="2">
        <v>22.5</v>
      </c>
      <c r="E36" s="2"/>
      <c r="F36" s="2">
        <v>300</v>
      </c>
      <c r="G36" s="2">
        <v>525</v>
      </c>
      <c r="H36" s="2"/>
      <c r="I36" s="2"/>
      <c r="J36" s="3">
        <f>IF(A36="Upgrade",IF(OR(H36=4,H36=5),VLOOKUP(I36,'Renewal Rates'!$A$22:$B$27,2,FALSE),2.7%),IF(A36="Renewal",100%,0%))</f>
        <v>2.7000000000000003E-2</v>
      </c>
      <c r="K36" s="2" t="s">
        <v>22</v>
      </c>
      <c r="L36" s="2">
        <v>376</v>
      </c>
      <c r="M36" s="2" t="s">
        <v>23</v>
      </c>
      <c r="N36" s="2" t="s">
        <v>24</v>
      </c>
      <c r="O36" s="4">
        <v>83013</v>
      </c>
      <c r="P36" s="4">
        <v>3688</v>
      </c>
      <c r="Q36" s="4">
        <v>28224</v>
      </c>
      <c r="R36" s="4">
        <v>111237</v>
      </c>
      <c r="S36" s="5">
        <v>0.4</v>
      </c>
      <c r="T36" s="4">
        <v>44495</v>
      </c>
      <c r="U36" s="4">
        <v>155732</v>
      </c>
      <c r="V36" s="6">
        <f t="shared" si="0"/>
        <v>4204.7640000000001</v>
      </c>
      <c r="W36" s="6">
        <f t="shared" si="1"/>
        <v>151527.236</v>
      </c>
    </row>
    <row r="37" spans="1:23" x14ac:dyDescent="0.3">
      <c r="A37" s="2" t="s">
        <v>21</v>
      </c>
      <c r="B37" s="2">
        <v>2.008</v>
      </c>
      <c r="C37" s="2">
        <v>2000903675</v>
      </c>
      <c r="D37" s="2">
        <v>40.799999999999997</v>
      </c>
      <c r="E37" s="2"/>
      <c r="F37" s="2">
        <v>225</v>
      </c>
      <c r="G37" s="2">
        <v>525</v>
      </c>
      <c r="H37" s="2"/>
      <c r="I37" s="2"/>
      <c r="J37" s="3">
        <f>IF(A37="Upgrade",IF(OR(H37=4,H37=5),VLOOKUP(I37,'Renewal Rates'!$A$22:$B$27,2,FALSE),2.7%),IF(A37="Renewal",100%,0%))</f>
        <v>2.7000000000000003E-2</v>
      </c>
      <c r="K37" s="2" t="s">
        <v>22</v>
      </c>
      <c r="L37" s="2">
        <v>376</v>
      </c>
      <c r="M37" s="2" t="s">
        <v>23</v>
      </c>
      <c r="N37" s="2" t="s">
        <v>24</v>
      </c>
      <c r="O37" s="4">
        <v>137889</v>
      </c>
      <c r="P37" s="4">
        <v>3376</v>
      </c>
      <c r="Q37" s="4">
        <v>46882</v>
      </c>
      <c r="R37" s="4">
        <v>184772</v>
      </c>
      <c r="S37" s="5">
        <v>0.4</v>
      </c>
      <c r="T37" s="4">
        <v>73909</v>
      </c>
      <c r="U37" s="4">
        <v>258680</v>
      </c>
      <c r="V37" s="6">
        <f t="shared" si="0"/>
        <v>6984.3600000000006</v>
      </c>
      <c r="W37" s="6">
        <f t="shared" si="1"/>
        <v>251695.64</v>
      </c>
    </row>
    <row r="38" spans="1:23" x14ac:dyDescent="0.3">
      <c r="A38" s="2" t="s">
        <v>21</v>
      </c>
      <c r="B38" s="2">
        <v>2.008</v>
      </c>
      <c r="C38" s="2">
        <v>3000158534</v>
      </c>
      <c r="D38" s="2">
        <v>37.700000000000003</v>
      </c>
      <c r="E38" s="2"/>
      <c r="F38" s="2">
        <v>225</v>
      </c>
      <c r="G38" s="2">
        <v>525</v>
      </c>
      <c r="H38" s="2"/>
      <c r="I38" s="2"/>
      <c r="J38" s="3">
        <f>IF(A38="Upgrade",IF(OR(H38=4,H38=5),VLOOKUP(I38,'Renewal Rates'!$A$22:$B$27,2,FALSE),2.7%),IF(A38="Renewal",100%,0%))</f>
        <v>2.7000000000000003E-2</v>
      </c>
      <c r="K38" s="2" t="s">
        <v>22</v>
      </c>
      <c r="L38" s="2">
        <v>376</v>
      </c>
      <c r="M38" s="2" t="s">
        <v>23</v>
      </c>
      <c r="N38" s="2" t="s">
        <v>24</v>
      </c>
      <c r="O38" s="4">
        <v>115738</v>
      </c>
      <c r="P38" s="4">
        <v>3068</v>
      </c>
      <c r="Q38" s="4">
        <v>39351</v>
      </c>
      <c r="R38" s="4">
        <v>155089</v>
      </c>
      <c r="S38" s="5">
        <v>0.4</v>
      </c>
      <c r="T38" s="4">
        <v>62036</v>
      </c>
      <c r="U38" s="4">
        <v>217125</v>
      </c>
      <c r="V38" s="6">
        <f t="shared" si="0"/>
        <v>5862.3750000000009</v>
      </c>
      <c r="W38" s="6">
        <f t="shared" si="1"/>
        <v>211262.625</v>
      </c>
    </row>
    <row r="39" spans="1:23" x14ac:dyDescent="0.3">
      <c r="A39" s="2" t="s">
        <v>25</v>
      </c>
      <c r="B39" s="2">
        <v>2.0009999999999999</v>
      </c>
      <c r="C39" s="2"/>
      <c r="D39" s="2"/>
      <c r="E39" s="2">
        <v>111.5</v>
      </c>
      <c r="F39" s="2"/>
      <c r="G39" s="2">
        <v>525</v>
      </c>
      <c r="H39" s="2"/>
      <c r="I39" s="2"/>
      <c r="J39" s="3">
        <f>IF(A39="Upgrade",IF(OR(H39=4,H39=5),VLOOKUP(I39,'Renewal Rates'!$A$22:$B$27,2,FALSE),2.7%),IF(A39="Renewal",100%,0%))</f>
        <v>0</v>
      </c>
      <c r="K39" s="2" t="s">
        <v>22</v>
      </c>
      <c r="L39" s="2">
        <v>376</v>
      </c>
      <c r="M39" s="2" t="s">
        <v>23</v>
      </c>
      <c r="N39" s="2" t="s">
        <v>24</v>
      </c>
      <c r="O39" s="4">
        <v>334511</v>
      </c>
      <c r="P39" s="4">
        <v>3000</v>
      </c>
      <c r="Q39" s="4">
        <v>113734</v>
      </c>
      <c r="R39" s="4">
        <v>448245</v>
      </c>
      <c r="S39" s="5">
        <v>0.4</v>
      </c>
      <c r="T39" s="4">
        <v>179298</v>
      </c>
      <c r="U39" s="4">
        <v>627543</v>
      </c>
      <c r="V39" s="6">
        <f t="shared" si="0"/>
        <v>0</v>
      </c>
      <c r="W39" s="6">
        <f t="shared" si="1"/>
        <v>627543</v>
      </c>
    </row>
    <row r="40" spans="1:23" x14ac:dyDescent="0.3">
      <c r="A40" s="2" t="s">
        <v>25</v>
      </c>
      <c r="B40" s="2">
        <v>2.004</v>
      </c>
      <c r="C40" s="2"/>
      <c r="D40" s="2"/>
      <c r="E40" s="2">
        <v>107.8</v>
      </c>
      <c r="F40" s="2"/>
      <c r="G40" s="2">
        <v>525</v>
      </c>
      <c r="H40" s="2"/>
      <c r="I40" s="2"/>
      <c r="J40" s="3">
        <f>IF(A40="Upgrade",IF(OR(H40=4,H40=5),VLOOKUP(I40,'Renewal Rates'!$A$22:$B$27,2,FALSE),2.7%),IF(A40="Renewal",100%,0%))</f>
        <v>0</v>
      </c>
      <c r="K40" s="2" t="s">
        <v>22</v>
      </c>
      <c r="L40" s="2">
        <v>376</v>
      </c>
      <c r="M40" s="2" t="s">
        <v>23</v>
      </c>
      <c r="N40" s="2" t="s">
        <v>24</v>
      </c>
      <c r="O40" s="4">
        <v>347625</v>
      </c>
      <c r="P40" s="4">
        <v>3226</v>
      </c>
      <c r="Q40" s="4">
        <v>118193</v>
      </c>
      <c r="R40" s="4">
        <v>465818</v>
      </c>
      <c r="S40" s="5">
        <v>0.4</v>
      </c>
      <c r="T40" s="4">
        <v>186327</v>
      </c>
      <c r="U40" s="4">
        <v>652145</v>
      </c>
      <c r="V40" s="6">
        <f t="shared" si="0"/>
        <v>0</v>
      </c>
      <c r="W40" s="6">
        <f t="shared" si="1"/>
        <v>652145</v>
      </c>
    </row>
    <row r="41" spans="1:23" x14ac:dyDescent="0.3">
      <c r="A41" s="2" t="s">
        <v>25</v>
      </c>
      <c r="B41" s="2">
        <v>2.0049999999999999</v>
      </c>
      <c r="C41" s="2"/>
      <c r="D41" s="2"/>
      <c r="E41" s="2">
        <v>65.3</v>
      </c>
      <c r="F41" s="2"/>
      <c r="G41" s="2">
        <v>450</v>
      </c>
      <c r="H41" s="2"/>
      <c r="I41" s="2"/>
      <c r="J41" s="3">
        <f>IF(A41="Upgrade",IF(OR(H41=4,H41=5),VLOOKUP(I41,'Renewal Rates'!$A$22:$B$27,2,FALSE),2.7%),IF(A41="Renewal",100%,0%))</f>
        <v>0</v>
      </c>
      <c r="K41" s="2" t="s">
        <v>22</v>
      </c>
      <c r="L41" s="2">
        <v>376</v>
      </c>
      <c r="M41" s="2" t="s">
        <v>23</v>
      </c>
      <c r="N41" s="2" t="s">
        <v>24</v>
      </c>
      <c r="O41" s="4">
        <v>188030</v>
      </c>
      <c r="P41" s="4">
        <v>2879</v>
      </c>
      <c r="Q41" s="4">
        <v>63930</v>
      </c>
      <c r="R41" s="4">
        <v>251960</v>
      </c>
      <c r="S41" s="5">
        <v>0.4</v>
      </c>
      <c r="T41" s="4">
        <v>100784</v>
      </c>
      <c r="U41" s="4">
        <v>352744</v>
      </c>
      <c r="V41" s="6">
        <f t="shared" si="0"/>
        <v>0</v>
      </c>
      <c r="W41" s="6">
        <f t="shared" si="1"/>
        <v>352744</v>
      </c>
    </row>
    <row r="42" spans="1:23" x14ac:dyDescent="0.3">
      <c r="A42" s="2" t="s">
        <v>25</v>
      </c>
      <c r="B42" s="2">
        <v>2.0059999999999998</v>
      </c>
      <c r="C42" s="2"/>
      <c r="D42" s="2"/>
      <c r="E42" s="2">
        <v>96.7</v>
      </c>
      <c r="F42" s="2"/>
      <c r="G42" s="2">
        <v>525</v>
      </c>
      <c r="H42" s="2"/>
      <c r="I42" s="2"/>
      <c r="J42" s="3">
        <f>IF(A42="Upgrade",IF(OR(H42=4,H42=5),VLOOKUP(I42,'Renewal Rates'!$A$22:$B$27,2,FALSE),2.7%),IF(A42="Renewal",100%,0%))</f>
        <v>0</v>
      </c>
      <c r="K42" s="2" t="s">
        <v>22</v>
      </c>
      <c r="L42" s="2">
        <v>376</v>
      </c>
      <c r="M42" s="2" t="s">
        <v>23</v>
      </c>
      <c r="N42" s="2" t="s">
        <v>24</v>
      </c>
      <c r="O42" s="4">
        <v>283236</v>
      </c>
      <c r="P42" s="4">
        <v>2930</v>
      </c>
      <c r="Q42" s="4">
        <v>96300</v>
      </c>
      <c r="R42" s="4">
        <v>379537</v>
      </c>
      <c r="S42" s="5">
        <v>0.4</v>
      </c>
      <c r="T42" s="4">
        <v>151815</v>
      </c>
      <c r="U42" s="4">
        <v>531351</v>
      </c>
      <c r="V42" s="6">
        <f t="shared" si="0"/>
        <v>0</v>
      </c>
      <c r="W42" s="6">
        <f t="shared" si="1"/>
        <v>531351</v>
      </c>
    </row>
    <row r="43" spans="1:23" x14ac:dyDescent="0.3">
      <c r="A43" s="2" t="s">
        <v>21</v>
      </c>
      <c r="B43" s="2">
        <v>3.0049999999999999</v>
      </c>
      <c r="C43" s="2">
        <v>2000180612</v>
      </c>
      <c r="D43" s="2">
        <v>27.3</v>
      </c>
      <c r="E43" s="2"/>
      <c r="F43" s="2">
        <v>300</v>
      </c>
      <c r="G43" s="2">
        <v>675</v>
      </c>
      <c r="H43" s="2"/>
      <c r="I43" s="2"/>
      <c r="J43" s="3">
        <f>IF(A43="Upgrade",IF(OR(H43=4,H43=5),VLOOKUP(I43,'Renewal Rates'!$A$22:$B$27,2,FALSE),2.7%),IF(A43="Renewal",100%,0%))</f>
        <v>2.7000000000000003E-2</v>
      </c>
      <c r="K43" s="2" t="s">
        <v>22</v>
      </c>
      <c r="L43" s="2">
        <v>374</v>
      </c>
      <c r="M43" s="2" t="s">
        <v>23</v>
      </c>
      <c r="N43" s="2" t="s">
        <v>24</v>
      </c>
      <c r="O43" s="4">
        <v>144954</v>
      </c>
      <c r="P43" s="4">
        <v>5309</v>
      </c>
      <c r="Q43" s="4">
        <v>49284</v>
      </c>
      <c r="R43" s="4">
        <v>194238</v>
      </c>
      <c r="S43" s="5">
        <v>0.4</v>
      </c>
      <c r="T43" s="4">
        <v>77695</v>
      </c>
      <c r="U43" s="4">
        <v>271933</v>
      </c>
      <c r="V43" s="6">
        <f t="shared" si="0"/>
        <v>7342.1910000000007</v>
      </c>
      <c r="W43" s="6">
        <f t="shared" si="1"/>
        <v>264590.80900000001</v>
      </c>
    </row>
    <row r="44" spans="1:23" x14ac:dyDescent="0.3">
      <c r="A44" s="2" t="s">
        <v>21</v>
      </c>
      <c r="B44" s="2">
        <v>3.0049999999999999</v>
      </c>
      <c r="C44" s="2">
        <v>2000282982</v>
      </c>
      <c r="D44" s="2">
        <v>23.5</v>
      </c>
      <c r="E44" s="2"/>
      <c r="F44" s="2">
        <v>525</v>
      </c>
      <c r="G44" s="2">
        <v>675</v>
      </c>
      <c r="H44" s="2">
        <v>4</v>
      </c>
      <c r="I44" s="2">
        <v>2</v>
      </c>
      <c r="J44" s="3">
        <f>IF(A44="Upgrade",IF(OR(H44=4,H44=5),VLOOKUP(I44,'Renewal Rates'!$A$22:$B$27,2,FALSE),2.7%),IF(A44="Renewal",100%,0%))</f>
        <v>0</v>
      </c>
      <c r="K44" s="2" t="s">
        <v>22</v>
      </c>
      <c r="L44" s="2">
        <v>374</v>
      </c>
      <c r="M44" s="2" t="s">
        <v>23</v>
      </c>
      <c r="N44" s="2" t="s">
        <v>24</v>
      </c>
      <c r="O44" s="4">
        <v>116980</v>
      </c>
      <c r="P44" s="4">
        <v>4982</v>
      </c>
      <c r="Q44" s="4">
        <v>39773</v>
      </c>
      <c r="R44" s="4">
        <v>156753</v>
      </c>
      <c r="S44" s="5">
        <v>0.4</v>
      </c>
      <c r="T44" s="4">
        <v>62701</v>
      </c>
      <c r="U44" s="4">
        <v>219455</v>
      </c>
      <c r="V44" s="6">
        <f t="shared" si="0"/>
        <v>0</v>
      </c>
      <c r="W44" s="6">
        <f t="shared" si="1"/>
        <v>219455</v>
      </c>
    </row>
    <row r="45" spans="1:23" x14ac:dyDescent="0.3">
      <c r="A45" s="2" t="s">
        <v>21</v>
      </c>
      <c r="B45" s="2">
        <v>3.0059999999999998</v>
      </c>
      <c r="C45" s="2">
        <v>2000316861</v>
      </c>
      <c r="D45" s="2">
        <v>45.8</v>
      </c>
      <c r="E45" s="2"/>
      <c r="F45" s="2">
        <v>525</v>
      </c>
      <c r="G45" s="2">
        <v>750</v>
      </c>
      <c r="H45" s="2"/>
      <c r="I45" s="2"/>
      <c r="J45" s="3">
        <f>IF(A45="Upgrade",IF(OR(H45=4,H45=5),VLOOKUP(I45,'Renewal Rates'!$A$22:$B$27,2,FALSE),2.7%),IF(A45="Renewal",100%,0%))</f>
        <v>2.7000000000000003E-2</v>
      </c>
      <c r="K45" s="2" t="s">
        <v>22</v>
      </c>
      <c r="L45" s="2">
        <v>374</v>
      </c>
      <c r="M45" s="2" t="s">
        <v>23</v>
      </c>
      <c r="N45" s="2" t="s">
        <v>24</v>
      </c>
      <c r="O45" s="4">
        <v>189607</v>
      </c>
      <c r="P45" s="4">
        <v>4138</v>
      </c>
      <c r="Q45" s="4">
        <v>64467</v>
      </c>
      <c r="R45" s="4">
        <v>254074</v>
      </c>
      <c r="S45" s="5">
        <v>0.4</v>
      </c>
      <c r="T45" s="4">
        <v>101630</v>
      </c>
      <c r="U45" s="4">
        <v>355703</v>
      </c>
      <c r="V45" s="6">
        <f t="shared" si="0"/>
        <v>9603.9810000000016</v>
      </c>
      <c r="W45" s="6">
        <f t="shared" si="1"/>
        <v>346099.01899999997</v>
      </c>
    </row>
    <row r="46" spans="1:23" x14ac:dyDescent="0.3">
      <c r="A46" s="2" t="s">
        <v>21</v>
      </c>
      <c r="B46" s="2">
        <v>3.0059999999999998</v>
      </c>
      <c r="C46" s="2">
        <v>2000702104</v>
      </c>
      <c r="D46" s="2">
        <v>9.4</v>
      </c>
      <c r="E46" s="2"/>
      <c r="F46" s="2">
        <v>525</v>
      </c>
      <c r="G46" s="2">
        <v>750</v>
      </c>
      <c r="H46" s="2"/>
      <c r="I46" s="2"/>
      <c r="J46" s="3">
        <f>IF(A46="Upgrade",IF(OR(H46=4,H46=5),VLOOKUP(I46,'Renewal Rates'!$A$22:$B$27,2,FALSE),2.7%),IF(A46="Renewal",100%,0%))</f>
        <v>2.7000000000000003E-2</v>
      </c>
      <c r="K46" s="2" t="s">
        <v>22</v>
      </c>
      <c r="L46" s="2">
        <v>374</v>
      </c>
      <c r="M46" s="2" t="s">
        <v>23</v>
      </c>
      <c r="N46" s="2" t="s">
        <v>24</v>
      </c>
      <c r="O46" s="4">
        <v>62284</v>
      </c>
      <c r="P46" s="4">
        <v>6649</v>
      </c>
      <c r="Q46" s="4">
        <v>21176</v>
      </c>
      <c r="R46" s="4">
        <v>83460</v>
      </c>
      <c r="S46" s="5">
        <v>0.4</v>
      </c>
      <c r="T46" s="4">
        <v>33384</v>
      </c>
      <c r="U46" s="4">
        <v>116844</v>
      </c>
      <c r="V46" s="6">
        <f t="shared" si="0"/>
        <v>3154.7880000000005</v>
      </c>
      <c r="W46" s="6">
        <f t="shared" si="1"/>
        <v>113689.212</v>
      </c>
    </row>
    <row r="47" spans="1:23" x14ac:dyDescent="0.3">
      <c r="A47" s="2" t="s">
        <v>21</v>
      </c>
      <c r="B47" s="2">
        <v>3.0059999999999998</v>
      </c>
      <c r="C47" s="2">
        <v>2000291600</v>
      </c>
      <c r="D47" s="2">
        <v>94.1</v>
      </c>
      <c r="E47" s="2"/>
      <c r="F47" s="2">
        <v>525</v>
      </c>
      <c r="G47" s="2">
        <v>750</v>
      </c>
      <c r="H47" s="2"/>
      <c r="I47" s="2"/>
      <c r="J47" s="3">
        <f>IF(A47="Upgrade",IF(OR(H47=4,H47=5),VLOOKUP(I47,'Renewal Rates'!$A$22:$B$27,2,FALSE),2.7%),IF(A47="Renewal",100%,0%))</f>
        <v>2.7000000000000003E-2</v>
      </c>
      <c r="K47" s="2" t="s">
        <v>22</v>
      </c>
      <c r="L47" s="2">
        <v>374</v>
      </c>
      <c r="M47" s="2" t="s">
        <v>23</v>
      </c>
      <c r="N47" s="2" t="s">
        <v>24</v>
      </c>
      <c r="O47" s="4">
        <v>376957</v>
      </c>
      <c r="P47" s="4">
        <v>4005</v>
      </c>
      <c r="Q47" s="4">
        <v>128166</v>
      </c>
      <c r="R47" s="4">
        <v>505123</v>
      </c>
      <c r="S47" s="5">
        <v>0.4</v>
      </c>
      <c r="T47" s="4">
        <v>202049</v>
      </c>
      <c r="U47" s="4">
        <v>707172</v>
      </c>
      <c r="V47" s="6">
        <f t="shared" si="0"/>
        <v>19093.644000000004</v>
      </c>
      <c r="W47" s="6">
        <f t="shared" si="1"/>
        <v>688078.35600000003</v>
      </c>
    </row>
    <row r="48" spans="1:23" x14ac:dyDescent="0.3">
      <c r="A48" s="2" t="s">
        <v>21</v>
      </c>
      <c r="B48" s="2">
        <v>3.0070000000000001</v>
      </c>
      <c r="C48" s="2">
        <v>3000092634</v>
      </c>
      <c r="D48" s="2">
        <v>6.4</v>
      </c>
      <c r="E48" s="2"/>
      <c r="F48" s="2">
        <v>525</v>
      </c>
      <c r="G48" s="2">
        <v>750</v>
      </c>
      <c r="H48" s="2"/>
      <c r="I48" s="2"/>
      <c r="J48" s="3">
        <f>IF(A48="Upgrade",IF(OR(H48=4,H48=5),VLOOKUP(I48,'Renewal Rates'!$A$22:$B$27,2,FALSE),2.7%),IF(A48="Renewal",100%,0%))</f>
        <v>2.7000000000000003E-2</v>
      </c>
      <c r="K48" s="2" t="s">
        <v>22</v>
      </c>
      <c r="L48" s="2">
        <v>374</v>
      </c>
      <c r="M48" s="2" t="s">
        <v>23</v>
      </c>
      <c r="N48" s="2" t="s">
        <v>24</v>
      </c>
      <c r="O48" s="4">
        <v>58251</v>
      </c>
      <c r="P48" s="4">
        <v>9099</v>
      </c>
      <c r="Q48" s="4">
        <v>19805</v>
      </c>
      <c r="R48" s="4">
        <v>78056</v>
      </c>
      <c r="S48" s="5">
        <v>0.4</v>
      </c>
      <c r="T48" s="4">
        <v>31223</v>
      </c>
      <c r="U48" s="4">
        <v>109279</v>
      </c>
      <c r="V48" s="6">
        <f t="shared" si="0"/>
        <v>2950.5330000000004</v>
      </c>
      <c r="W48" s="6">
        <f t="shared" si="1"/>
        <v>106328.467</v>
      </c>
    </row>
    <row r="49" spans="1:23" x14ac:dyDescent="0.3">
      <c r="A49" s="2" t="s">
        <v>21</v>
      </c>
      <c r="B49" s="2">
        <v>3.0070000000000001</v>
      </c>
      <c r="C49" s="2">
        <v>3000103017</v>
      </c>
      <c r="D49" s="2">
        <v>50.5</v>
      </c>
      <c r="E49" s="2"/>
      <c r="F49" s="2">
        <v>525</v>
      </c>
      <c r="G49" s="2">
        <v>750</v>
      </c>
      <c r="H49" s="2">
        <v>5</v>
      </c>
      <c r="I49" s="2">
        <v>5</v>
      </c>
      <c r="J49" s="3">
        <f>IF(A49="Upgrade",IF(OR(H49=4,H49=5),VLOOKUP(I49,'Renewal Rates'!$A$22:$B$27,2,FALSE),2.7%),IF(A49="Renewal",100%,0%))</f>
        <v>0.7</v>
      </c>
      <c r="K49" s="2" t="s">
        <v>22</v>
      </c>
      <c r="L49" s="2">
        <v>374</v>
      </c>
      <c r="M49" s="2" t="s">
        <v>23</v>
      </c>
      <c r="N49" s="2" t="s">
        <v>24</v>
      </c>
      <c r="O49" s="4">
        <v>239838</v>
      </c>
      <c r="P49" s="4">
        <v>4753</v>
      </c>
      <c r="Q49" s="4">
        <v>81545</v>
      </c>
      <c r="R49" s="4">
        <v>321383</v>
      </c>
      <c r="S49" s="5">
        <v>0.4</v>
      </c>
      <c r="T49" s="4">
        <v>128553</v>
      </c>
      <c r="U49" s="4">
        <v>449936</v>
      </c>
      <c r="V49" s="6">
        <f t="shared" si="0"/>
        <v>314955.19999999995</v>
      </c>
      <c r="W49" s="6">
        <f t="shared" si="1"/>
        <v>134980.80000000005</v>
      </c>
    </row>
    <row r="50" spans="1:23" x14ac:dyDescent="0.3">
      <c r="A50" s="2" t="s">
        <v>21</v>
      </c>
      <c r="B50" s="2">
        <v>3.004</v>
      </c>
      <c r="C50" s="2">
        <v>2000423547</v>
      </c>
      <c r="D50" s="2">
        <v>33.6</v>
      </c>
      <c r="E50" s="2"/>
      <c r="F50" s="2">
        <v>1200</v>
      </c>
      <c r="G50" s="2">
        <v>2400</v>
      </c>
      <c r="H50" s="2">
        <v>5</v>
      </c>
      <c r="I50" s="2">
        <v>2</v>
      </c>
      <c r="J50" s="3">
        <f>IF(A50="Upgrade",IF(OR(H50=4,H50=5),VLOOKUP(I50,'Renewal Rates'!$A$22:$B$27,2,FALSE),2.7%),IF(A50="Renewal",100%,0%))</f>
        <v>0</v>
      </c>
      <c r="K50" s="2" t="s">
        <v>22</v>
      </c>
      <c r="L50" s="2">
        <v>375</v>
      </c>
      <c r="M50" s="2" t="s">
        <v>23</v>
      </c>
      <c r="N50" s="2" t="s">
        <v>24</v>
      </c>
      <c r="O50" s="4">
        <v>511718</v>
      </c>
      <c r="P50" s="4">
        <v>15223</v>
      </c>
      <c r="Q50" s="4">
        <v>173984</v>
      </c>
      <c r="R50" s="4">
        <v>685702</v>
      </c>
      <c r="S50" s="5">
        <v>0.4</v>
      </c>
      <c r="T50" s="4">
        <v>274281</v>
      </c>
      <c r="U50" s="4">
        <v>959982</v>
      </c>
      <c r="V50" s="6">
        <f t="shared" si="0"/>
        <v>0</v>
      </c>
      <c r="W50" s="6">
        <f t="shared" si="1"/>
        <v>959982</v>
      </c>
    </row>
    <row r="51" spans="1:23" x14ac:dyDescent="0.3">
      <c r="A51" s="2" t="s">
        <v>21</v>
      </c>
      <c r="B51" s="2">
        <v>3.004</v>
      </c>
      <c r="C51" s="2">
        <v>2000322715</v>
      </c>
      <c r="D51" s="2">
        <v>62.1</v>
      </c>
      <c r="E51" s="2"/>
      <c r="F51" s="2">
        <v>1650</v>
      </c>
      <c r="G51" s="2">
        <v>2400</v>
      </c>
      <c r="H51" s="2">
        <v>5</v>
      </c>
      <c r="I51" s="2">
        <v>2</v>
      </c>
      <c r="J51" s="3">
        <f>IF(A51="Upgrade",IF(OR(H51=4,H51=5),VLOOKUP(I51,'Renewal Rates'!$A$22:$B$27,2,FALSE),2.7%),IF(A51="Renewal",100%,0%))</f>
        <v>0</v>
      </c>
      <c r="K51" s="2" t="s">
        <v>22</v>
      </c>
      <c r="L51" s="2">
        <v>375</v>
      </c>
      <c r="M51" s="2" t="s">
        <v>23</v>
      </c>
      <c r="N51" s="2" t="s">
        <v>24</v>
      </c>
      <c r="O51" s="4">
        <v>923324</v>
      </c>
      <c r="P51" s="4">
        <v>14857</v>
      </c>
      <c r="Q51" s="4">
        <v>313930</v>
      </c>
      <c r="R51" s="4">
        <v>1237254</v>
      </c>
      <c r="S51" s="5">
        <v>0.4</v>
      </c>
      <c r="T51" s="4">
        <v>494902</v>
      </c>
      <c r="U51" s="4">
        <v>1732156</v>
      </c>
      <c r="V51" s="6">
        <f t="shared" si="0"/>
        <v>0</v>
      </c>
      <c r="W51" s="6">
        <f t="shared" si="1"/>
        <v>1732156</v>
      </c>
    </row>
    <row r="52" spans="1:23" x14ac:dyDescent="0.3">
      <c r="A52" s="2" t="s">
        <v>21</v>
      </c>
      <c r="B52" s="2">
        <v>3.0019999999999998</v>
      </c>
      <c r="C52" s="2">
        <v>2000042049</v>
      </c>
      <c r="D52" s="2">
        <v>91.9</v>
      </c>
      <c r="E52" s="2"/>
      <c r="F52" s="2">
        <v>375</v>
      </c>
      <c r="G52" s="2">
        <v>750</v>
      </c>
      <c r="H52" s="2"/>
      <c r="I52" s="2"/>
      <c r="J52" s="3">
        <f>IF(A52="Upgrade",IF(OR(H52=4,H52=5),VLOOKUP(I52,'Renewal Rates'!$A$22:$B$27,2,FALSE),2.7%),IF(A52="Renewal",100%,0%))</f>
        <v>2.7000000000000003E-2</v>
      </c>
      <c r="K52" s="2" t="s">
        <v>22</v>
      </c>
      <c r="L52" s="2">
        <v>375</v>
      </c>
      <c r="M52" s="2" t="s">
        <v>23</v>
      </c>
      <c r="N52" s="2" t="s">
        <v>24</v>
      </c>
      <c r="O52" s="4">
        <v>373948</v>
      </c>
      <c r="P52" s="4">
        <v>4069</v>
      </c>
      <c r="Q52" s="4">
        <v>127142</v>
      </c>
      <c r="R52" s="4">
        <v>501091</v>
      </c>
      <c r="S52" s="5">
        <v>0.4</v>
      </c>
      <c r="T52" s="4">
        <v>200436</v>
      </c>
      <c r="U52" s="4">
        <v>701527</v>
      </c>
      <c r="V52" s="6">
        <f t="shared" si="0"/>
        <v>18941.229000000003</v>
      </c>
      <c r="W52" s="6">
        <f t="shared" si="1"/>
        <v>682585.77099999995</v>
      </c>
    </row>
    <row r="53" spans="1:23" x14ac:dyDescent="0.3">
      <c r="A53" s="2" t="s">
        <v>21</v>
      </c>
      <c r="B53" s="2">
        <v>3.0030000000000001</v>
      </c>
      <c r="C53" s="2">
        <v>3000127504</v>
      </c>
      <c r="D53" s="2">
        <v>19.899999999999999</v>
      </c>
      <c r="E53" s="2"/>
      <c r="F53" s="2">
        <v>300</v>
      </c>
      <c r="G53" s="2">
        <v>525</v>
      </c>
      <c r="H53" s="2"/>
      <c r="I53" s="2"/>
      <c r="J53" s="3">
        <f>IF(A53="Upgrade",IF(OR(H53=4,H53=5),VLOOKUP(I53,'Renewal Rates'!$A$22:$B$27,2,FALSE),2.7%),IF(A53="Renewal",100%,0%))</f>
        <v>2.7000000000000003E-2</v>
      </c>
      <c r="K53" s="2" t="s">
        <v>22</v>
      </c>
      <c r="L53" s="2">
        <v>375</v>
      </c>
      <c r="M53" s="2" t="s">
        <v>23</v>
      </c>
      <c r="N53" s="2" t="s">
        <v>24</v>
      </c>
      <c r="O53" s="4">
        <v>80697</v>
      </c>
      <c r="P53" s="4">
        <v>4064</v>
      </c>
      <c r="Q53" s="4">
        <v>27437</v>
      </c>
      <c r="R53" s="4">
        <v>108134</v>
      </c>
      <c r="S53" s="5">
        <v>0.4</v>
      </c>
      <c r="T53" s="4">
        <v>43254</v>
      </c>
      <c r="U53" s="4">
        <v>151388</v>
      </c>
      <c r="V53" s="6">
        <f t="shared" si="0"/>
        <v>4087.4760000000006</v>
      </c>
      <c r="W53" s="6">
        <f t="shared" si="1"/>
        <v>147300.524</v>
      </c>
    </row>
    <row r="54" spans="1:23" x14ac:dyDescent="0.3">
      <c r="A54" s="2" t="s">
        <v>21</v>
      </c>
      <c r="B54" s="2">
        <v>3.0030000000000001</v>
      </c>
      <c r="C54" s="2">
        <v>2000655520</v>
      </c>
      <c r="D54" s="2">
        <v>39.299999999999997</v>
      </c>
      <c r="E54" s="2"/>
      <c r="F54" s="2">
        <v>300</v>
      </c>
      <c r="G54" s="2">
        <v>525</v>
      </c>
      <c r="H54" s="2"/>
      <c r="I54" s="2"/>
      <c r="J54" s="3">
        <f>IF(A54="Upgrade",IF(OR(H54=4,H54=5),VLOOKUP(I54,'Renewal Rates'!$A$22:$B$27,2,FALSE),2.7%),IF(A54="Renewal",100%,0%))</f>
        <v>2.7000000000000003E-2</v>
      </c>
      <c r="K54" s="2" t="s">
        <v>22</v>
      </c>
      <c r="L54" s="2">
        <v>375</v>
      </c>
      <c r="M54" s="2" t="s">
        <v>23</v>
      </c>
      <c r="N54" s="2" t="s">
        <v>24</v>
      </c>
      <c r="O54" s="4">
        <v>136550</v>
      </c>
      <c r="P54" s="4">
        <v>3474</v>
      </c>
      <c r="Q54" s="4">
        <v>46427</v>
      </c>
      <c r="R54" s="4">
        <v>182976</v>
      </c>
      <c r="S54" s="5">
        <v>0.4</v>
      </c>
      <c r="T54" s="4">
        <v>73191</v>
      </c>
      <c r="U54" s="4">
        <v>256167</v>
      </c>
      <c r="V54" s="6">
        <f t="shared" si="0"/>
        <v>6916.5090000000009</v>
      </c>
      <c r="W54" s="6">
        <f t="shared" si="1"/>
        <v>249250.49100000001</v>
      </c>
    </row>
    <row r="55" spans="1:23" x14ac:dyDescent="0.3">
      <c r="A55" s="2" t="s">
        <v>21</v>
      </c>
      <c r="B55" s="2">
        <v>4.0380000000000003</v>
      </c>
      <c r="C55" s="2">
        <v>2000716380</v>
      </c>
      <c r="D55" s="2">
        <v>77.599999999999994</v>
      </c>
      <c r="E55" s="2"/>
      <c r="F55" s="2">
        <v>300</v>
      </c>
      <c r="G55" s="2">
        <v>675</v>
      </c>
      <c r="H55" s="2"/>
      <c r="I55" s="2"/>
      <c r="J55" s="3">
        <f>IF(A55="Upgrade",IF(OR(H55=4,H55=5),VLOOKUP(I55,'Renewal Rates'!$A$22:$B$27,2,FALSE),2.7%),IF(A55="Renewal",100%,0%))</f>
        <v>2.7000000000000003E-2</v>
      </c>
      <c r="K55" s="2" t="s">
        <v>22</v>
      </c>
      <c r="L55" s="2">
        <v>375</v>
      </c>
      <c r="M55" s="2" t="s">
        <v>23</v>
      </c>
      <c r="N55" s="2" t="s">
        <v>24</v>
      </c>
      <c r="O55" s="4">
        <v>257120</v>
      </c>
      <c r="P55" s="4">
        <v>3312</v>
      </c>
      <c r="Q55" s="4">
        <v>87421</v>
      </c>
      <c r="R55" s="4">
        <v>344540</v>
      </c>
      <c r="S55" s="5">
        <v>0.4</v>
      </c>
      <c r="T55" s="4">
        <v>137816</v>
      </c>
      <c r="U55" s="4">
        <v>482356</v>
      </c>
      <c r="V55" s="6">
        <f t="shared" si="0"/>
        <v>13023.612000000001</v>
      </c>
      <c r="W55" s="6">
        <f t="shared" si="1"/>
        <v>469332.38799999998</v>
      </c>
    </row>
    <row r="56" spans="1:23" x14ac:dyDescent="0.3">
      <c r="A56" s="2" t="s">
        <v>25</v>
      </c>
      <c r="B56" s="2">
        <v>4.0010000000000003</v>
      </c>
      <c r="C56" s="2"/>
      <c r="D56" s="2"/>
      <c r="E56" s="2">
        <v>66.900000000000006</v>
      </c>
      <c r="F56" s="2"/>
      <c r="G56" s="2">
        <v>300</v>
      </c>
      <c r="H56" s="2"/>
      <c r="I56" s="2"/>
      <c r="J56" s="3">
        <f>IF(A56="Upgrade",IF(OR(H56=4,H56=5),VLOOKUP(I56,'Renewal Rates'!$A$22:$B$27,2,FALSE),2.7%),IF(A56="Renewal",100%,0%))</f>
        <v>0</v>
      </c>
      <c r="K56" s="2" t="s">
        <v>22</v>
      </c>
      <c r="L56" s="2">
        <v>374</v>
      </c>
      <c r="M56" s="2" t="s">
        <v>23</v>
      </c>
      <c r="N56" s="2" t="s">
        <v>24</v>
      </c>
      <c r="O56" s="4">
        <v>144368</v>
      </c>
      <c r="P56" s="4">
        <v>2159</v>
      </c>
      <c r="Q56" s="4">
        <v>49085</v>
      </c>
      <c r="R56" s="4">
        <v>193453</v>
      </c>
      <c r="S56" s="5">
        <v>0.4</v>
      </c>
      <c r="T56" s="4">
        <v>77381</v>
      </c>
      <c r="U56" s="4">
        <v>270835</v>
      </c>
      <c r="V56" s="6">
        <f t="shared" si="0"/>
        <v>0</v>
      </c>
      <c r="W56" s="6">
        <f t="shared" si="1"/>
        <v>270835</v>
      </c>
    </row>
    <row r="57" spans="1:23" x14ac:dyDescent="0.3">
      <c r="A57" s="2" t="s">
        <v>21</v>
      </c>
      <c r="B57" s="2">
        <v>3.008</v>
      </c>
      <c r="C57" s="2">
        <v>2000703577</v>
      </c>
      <c r="D57" s="2">
        <v>22.6</v>
      </c>
      <c r="E57" s="2"/>
      <c r="F57" s="2">
        <v>900</v>
      </c>
      <c r="G57" s="2">
        <v>1650</v>
      </c>
      <c r="H57" s="2">
        <v>4</v>
      </c>
      <c r="I57" s="2">
        <v>2</v>
      </c>
      <c r="J57" s="3">
        <f>IF(A57="Upgrade",IF(OR(H57=4,H57=5),VLOOKUP(I57,'Renewal Rates'!$A$22:$B$27,2,FALSE),2.7%),IF(A57="Renewal",100%,0%))</f>
        <v>0</v>
      </c>
      <c r="K57" s="2" t="s">
        <v>22</v>
      </c>
      <c r="L57" s="2">
        <v>374</v>
      </c>
      <c r="M57" s="2" t="s">
        <v>23</v>
      </c>
      <c r="N57" s="2" t="s">
        <v>24</v>
      </c>
      <c r="O57" s="4">
        <v>214053</v>
      </c>
      <c r="P57" s="4">
        <v>9465</v>
      </c>
      <c r="Q57" s="4">
        <v>72778</v>
      </c>
      <c r="R57" s="4">
        <v>286830</v>
      </c>
      <c r="S57" s="5">
        <v>0.4</v>
      </c>
      <c r="T57" s="4">
        <v>114732</v>
      </c>
      <c r="U57" s="4">
        <v>401563</v>
      </c>
      <c r="V57" s="6">
        <f t="shared" si="0"/>
        <v>0</v>
      </c>
      <c r="W57" s="6">
        <f t="shared" si="1"/>
        <v>401563</v>
      </c>
    </row>
    <row r="58" spans="1:23" x14ac:dyDescent="0.3">
      <c r="A58" s="2" t="s">
        <v>21</v>
      </c>
      <c r="B58" s="2">
        <v>3.008</v>
      </c>
      <c r="C58" s="2">
        <v>2000775576</v>
      </c>
      <c r="D58" s="2">
        <v>62</v>
      </c>
      <c r="E58" s="2"/>
      <c r="F58" s="2">
        <v>900</v>
      </c>
      <c r="G58" s="2">
        <v>1650</v>
      </c>
      <c r="H58" s="2"/>
      <c r="I58" s="2"/>
      <c r="J58" s="3">
        <f>IF(A58="Upgrade",IF(OR(H58=4,H58=5),VLOOKUP(I58,'Renewal Rates'!$A$22:$B$27,2,FALSE),2.7%),IF(A58="Renewal",100%,0%))</f>
        <v>2.7000000000000003E-2</v>
      </c>
      <c r="K58" s="2" t="s">
        <v>22</v>
      </c>
      <c r="L58" s="2">
        <v>374</v>
      </c>
      <c r="M58" s="2" t="s">
        <v>23</v>
      </c>
      <c r="N58" s="2" t="s">
        <v>24</v>
      </c>
      <c r="O58" s="4">
        <v>570190</v>
      </c>
      <c r="P58" s="4">
        <v>9197</v>
      </c>
      <c r="Q58" s="4">
        <v>193865</v>
      </c>
      <c r="R58" s="4">
        <v>764055</v>
      </c>
      <c r="S58" s="5">
        <v>0.4</v>
      </c>
      <c r="T58" s="4">
        <v>305622</v>
      </c>
      <c r="U58" s="4">
        <v>1069677</v>
      </c>
      <c r="V58" s="6">
        <f t="shared" si="0"/>
        <v>28881.279000000002</v>
      </c>
      <c r="W58" s="6">
        <f t="shared" si="1"/>
        <v>1040795.721</v>
      </c>
    </row>
    <row r="59" spans="1:23" x14ac:dyDescent="0.3">
      <c r="A59" s="2" t="s">
        <v>21</v>
      </c>
      <c r="B59" s="2">
        <v>4.0259999999999998</v>
      </c>
      <c r="C59" s="2">
        <v>2000974569</v>
      </c>
      <c r="D59" s="2">
        <v>31.6</v>
      </c>
      <c r="E59" s="2"/>
      <c r="F59" s="2">
        <v>900</v>
      </c>
      <c r="G59" s="2">
        <v>1500</v>
      </c>
      <c r="H59" s="2"/>
      <c r="I59" s="2"/>
      <c r="J59" s="3">
        <f>IF(A59="Upgrade",IF(OR(H59=4,H59=5),VLOOKUP(I59,'Renewal Rates'!$A$22:$B$27,2,FALSE),2.7%),IF(A59="Renewal",100%,0%))</f>
        <v>2.7000000000000003E-2</v>
      </c>
      <c r="K59" s="2" t="s">
        <v>22</v>
      </c>
      <c r="L59" s="2">
        <v>374</v>
      </c>
      <c r="M59" s="2" t="s">
        <v>23</v>
      </c>
      <c r="N59" s="2" t="s">
        <v>24</v>
      </c>
      <c r="O59" s="4">
        <v>279793</v>
      </c>
      <c r="P59" s="4">
        <v>8858</v>
      </c>
      <c r="Q59" s="4">
        <v>95129</v>
      </c>
      <c r="R59" s="4">
        <v>374922</v>
      </c>
      <c r="S59" s="5">
        <v>0.4</v>
      </c>
      <c r="T59" s="4">
        <v>149969</v>
      </c>
      <c r="U59" s="4">
        <v>524891</v>
      </c>
      <c r="V59" s="6">
        <f t="shared" si="0"/>
        <v>14172.057000000003</v>
      </c>
      <c r="W59" s="6">
        <f t="shared" si="1"/>
        <v>510718.94299999997</v>
      </c>
    </row>
    <row r="60" spans="1:23" x14ac:dyDescent="0.3">
      <c r="A60" s="2" t="s">
        <v>21</v>
      </c>
      <c r="B60" s="2">
        <v>4.0250000000000004</v>
      </c>
      <c r="C60" s="2">
        <v>2000504202</v>
      </c>
      <c r="D60" s="2">
        <v>6.7</v>
      </c>
      <c r="E60" s="2"/>
      <c r="F60" s="2">
        <v>450</v>
      </c>
      <c r="G60" s="2">
        <v>675</v>
      </c>
      <c r="H60" s="2"/>
      <c r="I60" s="2"/>
      <c r="J60" s="3">
        <f>IF(A60="Upgrade",IF(OR(H60=4,H60=5),VLOOKUP(I60,'Renewal Rates'!$A$22:$B$27,2,FALSE),2.7%),IF(A60="Renewal",100%,0%))</f>
        <v>2.7000000000000003E-2</v>
      </c>
      <c r="K60" s="2" t="s">
        <v>22</v>
      </c>
      <c r="L60" s="2">
        <v>374</v>
      </c>
      <c r="M60" s="2" t="s">
        <v>23</v>
      </c>
      <c r="N60" s="2" t="s">
        <v>24</v>
      </c>
      <c r="O60" s="4">
        <v>58039</v>
      </c>
      <c r="P60" s="4">
        <v>8652</v>
      </c>
      <c r="Q60" s="4">
        <v>19733</v>
      </c>
      <c r="R60" s="4">
        <v>77773</v>
      </c>
      <c r="S60" s="5">
        <v>0.4</v>
      </c>
      <c r="T60" s="4">
        <v>31109</v>
      </c>
      <c r="U60" s="4">
        <v>108882</v>
      </c>
      <c r="V60" s="6">
        <f t="shared" si="0"/>
        <v>2939.8140000000003</v>
      </c>
      <c r="W60" s="6">
        <f t="shared" si="1"/>
        <v>105942.186</v>
      </c>
    </row>
    <row r="61" spans="1:23" x14ac:dyDescent="0.3">
      <c r="A61" s="2" t="s">
        <v>21</v>
      </c>
      <c r="B61" s="2">
        <v>4.0250000000000004</v>
      </c>
      <c r="C61" s="2">
        <v>2000919369</v>
      </c>
      <c r="D61" s="2">
        <v>29</v>
      </c>
      <c r="E61" s="2"/>
      <c r="F61" s="2">
        <v>450</v>
      </c>
      <c r="G61" s="2">
        <v>675</v>
      </c>
      <c r="H61" s="2"/>
      <c r="I61" s="2"/>
      <c r="J61" s="3">
        <f>IF(A61="Upgrade",IF(OR(H61=4,H61=5),VLOOKUP(I61,'Renewal Rates'!$A$22:$B$27,2,FALSE),2.7%),IF(A61="Renewal",100%,0%))</f>
        <v>2.7000000000000003E-2</v>
      </c>
      <c r="K61" s="2" t="s">
        <v>22</v>
      </c>
      <c r="L61" s="2">
        <v>374</v>
      </c>
      <c r="M61" s="2" t="s">
        <v>23</v>
      </c>
      <c r="N61" s="2" t="s">
        <v>24</v>
      </c>
      <c r="O61" s="4">
        <v>123598</v>
      </c>
      <c r="P61" s="4">
        <v>4260</v>
      </c>
      <c r="Q61" s="4">
        <v>42023</v>
      </c>
      <c r="R61" s="4">
        <v>165621</v>
      </c>
      <c r="S61" s="5">
        <v>0.4</v>
      </c>
      <c r="T61" s="4">
        <v>66248</v>
      </c>
      <c r="U61" s="4">
        <v>231869</v>
      </c>
      <c r="V61" s="6">
        <f t="shared" si="0"/>
        <v>6260.4630000000006</v>
      </c>
      <c r="W61" s="6">
        <f t="shared" si="1"/>
        <v>225608.53700000001</v>
      </c>
    </row>
    <row r="62" spans="1:23" x14ac:dyDescent="0.3">
      <c r="A62" s="2" t="s">
        <v>21</v>
      </c>
      <c r="B62" s="2">
        <v>4.0250000000000004</v>
      </c>
      <c r="C62" s="2">
        <v>2000467850</v>
      </c>
      <c r="D62" s="2">
        <v>38.6</v>
      </c>
      <c r="E62" s="2"/>
      <c r="F62" s="2">
        <v>450</v>
      </c>
      <c r="G62" s="2">
        <v>675</v>
      </c>
      <c r="H62" s="2"/>
      <c r="I62" s="2"/>
      <c r="J62" s="3">
        <f>IF(A62="Upgrade",IF(OR(H62=4,H62=5),VLOOKUP(I62,'Renewal Rates'!$A$22:$B$27,2,FALSE),2.7%),IF(A62="Renewal",100%,0%))</f>
        <v>2.7000000000000003E-2</v>
      </c>
      <c r="K62" s="2" t="s">
        <v>22</v>
      </c>
      <c r="L62" s="2">
        <v>374</v>
      </c>
      <c r="M62" s="2" t="s">
        <v>23</v>
      </c>
      <c r="N62" s="2" t="s">
        <v>24</v>
      </c>
      <c r="O62" s="4">
        <v>154468</v>
      </c>
      <c r="P62" s="4">
        <v>4005</v>
      </c>
      <c r="Q62" s="4">
        <v>52519</v>
      </c>
      <c r="R62" s="4">
        <v>206987</v>
      </c>
      <c r="S62" s="5">
        <v>0.4</v>
      </c>
      <c r="T62" s="4">
        <v>82795</v>
      </c>
      <c r="U62" s="4">
        <v>289781</v>
      </c>
      <c r="V62" s="6">
        <f t="shared" si="0"/>
        <v>7824.0870000000014</v>
      </c>
      <c r="W62" s="6">
        <f t="shared" si="1"/>
        <v>281956.913</v>
      </c>
    </row>
    <row r="63" spans="1:23" x14ac:dyDescent="0.3">
      <c r="A63" s="2" t="s">
        <v>21</v>
      </c>
      <c r="B63" s="2">
        <v>4.0250000000000004</v>
      </c>
      <c r="C63" s="2">
        <v>2000461844</v>
      </c>
      <c r="D63" s="2">
        <v>70.7</v>
      </c>
      <c r="E63" s="2"/>
      <c r="F63" s="2">
        <v>450</v>
      </c>
      <c r="G63" s="2">
        <v>675</v>
      </c>
      <c r="H63" s="2"/>
      <c r="I63" s="2"/>
      <c r="J63" s="3">
        <f>IF(A63="Upgrade",IF(OR(H63=4,H63=5),VLOOKUP(I63,'Renewal Rates'!$A$22:$B$27,2,FALSE),2.7%),IF(A63="Renewal",100%,0%))</f>
        <v>2.7000000000000003E-2</v>
      </c>
      <c r="K63" s="2" t="s">
        <v>22</v>
      </c>
      <c r="L63" s="2">
        <v>374</v>
      </c>
      <c r="M63" s="2" t="s">
        <v>23</v>
      </c>
      <c r="N63" s="2" t="s">
        <v>24</v>
      </c>
      <c r="O63" s="4">
        <v>276219</v>
      </c>
      <c r="P63" s="4">
        <v>3905</v>
      </c>
      <c r="Q63" s="4">
        <v>93914</v>
      </c>
      <c r="R63" s="4">
        <v>370133</v>
      </c>
      <c r="S63" s="5">
        <v>0.4</v>
      </c>
      <c r="T63" s="4">
        <v>148053</v>
      </c>
      <c r="U63" s="4">
        <v>518187</v>
      </c>
      <c r="V63" s="6">
        <f t="shared" si="0"/>
        <v>13991.049000000001</v>
      </c>
      <c r="W63" s="6">
        <f t="shared" si="1"/>
        <v>504195.951</v>
      </c>
    </row>
    <row r="64" spans="1:23" x14ac:dyDescent="0.3">
      <c r="A64" s="2" t="s">
        <v>21</v>
      </c>
      <c r="B64" s="2">
        <v>4.0250000000000004</v>
      </c>
      <c r="C64" s="2">
        <v>2000295204</v>
      </c>
      <c r="D64" s="2">
        <v>82.3</v>
      </c>
      <c r="E64" s="2"/>
      <c r="F64" s="2">
        <v>375</v>
      </c>
      <c r="G64" s="2">
        <v>675</v>
      </c>
      <c r="H64" s="2"/>
      <c r="I64" s="2"/>
      <c r="J64" s="3">
        <f>IF(A64="Upgrade",IF(OR(H64=4,H64=5),VLOOKUP(I64,'Renewal Rates'!$A$22:$B$27,2,FALSE),2.7%),IF(A64="Renewal",100%,0%))</f>
        <v>2.7000000000000003E-2</v>
      </c>
      <c r="K64" s="2" t="s">
        <v>22</v>
      </c>
      <c r="L64" s="2">
        <v>374</v>
      </c>
      <c r="M64" s="2" t="s">
        <v>23</v>
      </c>
      <c r="N64" s="2" t="s">
        <v>24</v>
      </c>
      <c r="O64" s="4">
        <v>309454</v>
      </c>
      <c r="P64" s="4">
        <v>3762</v>
      </c>
      <c r="Q64" s="4">
        <v>105214</v>
      </c>
      <c r="R64" s="4">
        <v>414668</v>
      </c>
      <c r="S64" s="5">
        <v>0.4</v>
      </c>
      <c r="T64" s="4">
        <v>165867</v>
      </c>
      <c r="U64" s="4">
        <v>580535</v>
      </c>
      <c r="V64" s="6">
        <f t="shared" si="0"/>
        <v>15674.445000000002</v>
      </c>
      <c r="W64" s="6">
        <f t="shared" si="1"/>
        <v>564860.55500000005</v>
      </c>
    </row>
    <row r="65" spans="1:23" x14ac:dyDescent="0.3">
      <c r="A65" s="2" t="s">
        <v>21</v>
      </c>
      <c r="B65" s="2">
        <v>4.024</v>
      </c>
      <c r="C65" s="2">
        <v>2000323906</v>
      </c>
      <c r="D65" s="2">
        <v>55.9</v>
      </c>
      <c r="E65" s="2"/>
      <c r="F65" s="2">
        <v>300</v>
      </c>
      <c r="G65" s="2">
        <v>600</v>
      </c>
      <c r="H65" s="2"/>
      <c r="I65" s="2"/>
      <c r="J65" s="3">
        <f>IF(A65="Upgrade",IF(OR(H65=4,H65=5),VLOOKUP(I65,'Renewal Rates'!$A$22:$B$27,2,FALSE),2.7%),IF(A65="Renewal",100%,0%))</f>
        <v>2.7000000000000003E-2</v>
      </c>
      <c r="K65" s="2" t="s">
        <v>22</v>
      </c>
      <c r="L65" s="2">
        <v>374</v>
      </c>
      <c r="M65" s="2" t="s">
        <v>23</v>
      </c>
      <c r="N65" s="2" t="s">
        <v>24</v>
      </c>
      <c r="O65" s="4">
        <v>197390</v>
      </c>
      <c r="P65" s="4">
        <v>3533</v>
      </c>
      <c r="Q65" s="4">
        <v>67113</v>
      </c>
      <c r="R65" s="4">
        <v>264503</v>
      </c>
      <c r="S65" s="5">
        <v>0.4</v>
      </c>
      <c r="T65" s="4">
        <v>105801</v>
      </c>
      <c r="U65" s="4">
        <v>370304</v>
      </c>
      <c r="V65" s="6">
        <f t="shared" si="0"/>
        <v>9998.2080000000005</v>
      </c>
      <c r="W65" s="6">
        <f t="shared" si="1"/>
        <v>360305.79200000002</v>
      </c>
    </row>
    <row r="66" spans="1:23" x14ac:dyDescent="0.3">
      <c r="A66" s="2" t="s">
        <v>21</v>
      </c>
      <c r="B66" s="2">
        <v>4.024</v>
      </c>
      <c r="C66" s="2">
        <v>2000064698</v>
      </c>
      <c r="D66" s="2">
        <v>61.7</v>
      </c>
      <c r="E66" s="2"/>
      <c r="F66" s="2">
        <v>300</v>
      </c>
      <c r="G66" s="2">
        <v>600</v>
      </c>
      <c r="H66" s="2"/>
      <c r="I66" s="2"/>
      <c r="J66" s="3">
        <f>IF(A66="Upgrade",IF(OR(H66=4,H66=5),VLOOKUP(I66,'Renewal Rates'!$A$22:$B$27,2,FALSE),2.7%),IF(A66="Renewal",100%,0%))</f>
        <v>2.7000000000000003E-2</v>
      </c>
      <c r="K66" s="2" t="s">
        <v>22</v>
      </c>
      <c r="L66" s="2">
        <v>374</v>
      </c>
      <c r="M66" s="2" t="s">
        <v>23</v>
      </c>
      <c r="N66" s="2" t="s">
        <v>24</v>
      </c>
      <c r="O66" s="4">
        <v>222883</v>
      </c>
      <c r="P66" s="4">
        <v>3611</v>
      </c>
      <c r="Q66" s="4">
        <v>75780</v>
      </c>
      <c r="R66" s="4">
        <v>298663</v>
      </c>
      <c r="S66" s="5">
        <v>0.4</v>
      </c>
      <c r="T66" s="4">
        <v>119465</v>
      </c>
      <c r="U66" s="4">
        <v>418128</v>
      </c>
      <c r="V66" s="6">
        <f t="shared" si="0"/>
        <v>11289.456000000002</v>
      </c>
      <c r="W66" s="6">
        <f t="shared" si="1"/>
        <v>406838.54399999999</v>
      </c>
    </row>
    <row r="67" spans="1:23" x14ac:dyDescent="0.3">
      <c r="A67" s="2" t="s">
        <v>21</v>
      </c>
      <c r="B67" s="2">
        <v>4.024</v>
      </c>
      <c r="C67" s="2">
        <v>2000383617</v>
      </c>
      <c r="D67" s="2">
        <v>73.900000000000006</v>
      </c>
      <c r="E67" s="2"/>
      <c r="F67" s="2">
        <v>300</v>
      </c>
      <c r="G67" s="2">
        <v>600</v>
      </c>
      <c r="H67" s="2"/>
      <c r="I67" s="2"/>
      <c r="J67" s="3">
        <f>IF(A67="Upgrade",IF(OR(H67=4,H67=5),VLOOKUP(I67,'Renewal Rates'!$A$22:$B$27,2,FALSE),2.7%),IF(A67="Renewal",100%,0%))</f>
        <v>2.7000000000000003E-2</v>
      </c>
      <c r="K67" s="2" t="s">
        <v>22</v>
      </c>
      <c r="L67" s="2">
        <v>374</v>
      </c>
      <c r="M67" s="2" t="s">
        <v>23</v>
      </c>
      <c r="N67" s="2" t="s">
        <v>24</v>
      </c>
      <c r="O67" s="4">
        <v>271251</v>
      </c>
      <c r="P67" s="4">
        <v>3673</v>
      </c>
      <c r="Q67" s="4">
        <v>92225</v>
      </c>
      <c r="R67" s="4">
        <v>363476</v>
      </c>
      <c r="S67" s="5">
        <v>0.4</v>
      </c>
      <c r="T67" s="4">
        <v>145390</v>
      </c>
      <c r="U67" s="4">
        <v>508866</v>
      </c>
      <c r="V67" s="6">
        <f t="shared" ref="V67:V130" si="2">J67*U67</f>
        <v>13739.382000000001</v>
      </c>
      <c r="W67" s="6">
        <f t="shared" ref="W67:W130" si="3">U67-V67</f>
        <v>495126.61800000002</v>
      </c>
    </row>
    <row r="68" spans="1:23" x14ac:dyDescent="0.3">
      <c r="A68" s="2" t="s">
        <v>25</v>
      </c>
      <c r="B68" s="2">
        <v>4.0049999999999999</v>
      </c>
      <c r="C68" s="2"/>
      <c r="D68" s="2"/>
      <c r="E68" s="2">
        <v>170.4</v>
      </c>
      <c r="F68" s="2"/>
      <c r="G68" s="2">
        <v>675</v>
      </c>
      <c r="H68" s="2"/>
      <c r="I68" s="2"/>
      <c r="J68" s="3">
        <f>IF(A68="Upgrade",IF(OR(H68=4,H68=5),VLOOKUP(I68,'Renewal Rates'!$A$22:$B$27,2,FALSE),2.7%),IF(A68="Renewal",100%,0%))</f>
        <v>0</v>
      </c>
      <c r="K68" s="2" t="s">
        <v>22</v>
      </c>
      <c r="L68" s="2">
        <v>374</v>
      </c>
      <c r="M68" s="2" t="s">
        <v>23</v>
      </c>
      <c r="N68" s="2" t="s">
        <v>24</v>
      </c>
      <c r="O68" s="4">
        <v>639719</v>
      </c>
      <c r="P68" s="4">
        <v>3755</v>
      </c>
      <c r="Q68" s="4">
        <v>217505</v>
      </c>
      <c r="R68" s="4">
        <v>857224</v>
      </c>
      <c r="S68" s="5">
        <v>0.4</v>
      </c>
      <c r="T68" s="4">
        <v>342890</v>
      </c>
      <c r="U68" s="4">
        <v>1200113</v>
      </c>
      <c r="V68" s="6">
        <f t="shared" si="2"/>
        <v>0</v>
      </c>
      <c r="W68" s="6">
        <f t="shared" si="3"/>
        <v>1200113</v>
      </c>
    </row>
    <row r="69" spans="1:23" x14ac:dyDescent="0.3">
      <c r="A69" s="2" t="s">
        <v>21</v>
      </c>
      <c r="B69" s="2">
        <v>4.0279999999999996</v>
      </c>
      <c r="C69" s="2">
        <v>2000659971</v>
      </c>
      <c r="D69" s="2">
        <v>26.5</v>
      </c>
      <c r="E69" s="2"/>
      <c r="F69" s="2">
        <v>900</v>
      </c>
      <c r="G69" s="2">
        <v>1500</v>
      </c>
      <c r="H69" s="2">
        <v>4</v>
      </c>
      <c r="I69" s="2">
        <v>2</v>
      </c>
      <c r="J69" s="3">
        <f>IF(A69="Upgrade",IF(OR(H69=4,H69=5),VLOOKUP(I69,'Renewal Rates'!$A$22:$B$27,2,FALSE),2.7%),IF(A69="Renewal",100%,0%))</f>
        <v>0</v>
      </c>
      <c r="K69" s="2" t="s">
        <v>22</v>
      </c>
      <c r="L69" s="2">
        <v>374</v>
      </c>
      <c r="M69" s="2" t="s">
        <v>23</v>
      </c>
      <c r="N69" s="2" t="s">
        <v>24</v>
      </c>
      <c r="O69" s="4">
        <v>241712</v>
      </c>
      <c r="P69" s="4">
        <v>9110</v>
      </c>
      <c r="Q69" s="4">
        <v>82182</v>
      </c>
      <c r="R69" s="4">
        <v>323893</v>
      </c>
      <c r="S69" s="5">
        <v>0.4</v>
      </c>
      <c r="T69" s="4">
        <v>129557</v>
      </c>
      <c r="U69" s="4">
        <v>453451</v>
      </c>
      <c r="V69" s="6">
        <f t="shared" si="2"/>
        <v>0</v>
      </c>
      <c r="W69" s="6">
        <f t="shared" si="3"/>
        <v>453451</v>
      </c>
    </row>
    <row r="70" spans="1:23" x14ac:dyDescent="0.3">
      <c r="A70" s="2" t="s">
        <v>21</v>
      </c>
      <c r="B70" s="2">
        <v>4.0279999999999996</v>
      </c>
      <c r="C70" s="2">
        <v>3000109186</v>
      </c>
      <c r="D70" s="2">
        <v>23.9</v>
      </c>
      <c r="E70" s="2"/>
      <c r="F70" s="2">
        <v>900</v>
      </c>
      <c r="G70" s="2">
        <v>1500</v>
      </c>
      <c r="H70" s="2"/>
      <c r="I70" s="2"/>
      <c r="J70" s="3">
        <f>IF(A70="Upgrade",IF(OR(H70=4,H70=5),VLOOKUP(I70,'Renewal Rates'!$A$22:$B$27,2,FALSE),2.7%),IF(A70="Renewal",100%,0%))</f>
        <v>2.7000000000000003E-2</v>
      </c>
      <c r="K70" s="2" t="s">
        <v>22</v>
      </c>
      <c r="L70" s="2">
        <v>374</v>
      </c>
      <c r="M70" s="2" t="s">
        <v>23</v>
      </c>
      <c r="N70" s="2" t="s">
        <v>24</v>
      </c>
      <c r="O70" s="4">
        <v>210911</v>
      </c>
      <c r="P70" s="4">
        <v>8835</v>
      </c>
      <c r="Q70" s="4">
        <v>71710</v>
      </c>
      <c r="R70" s="4">
        <v>282620</v>
      </c>
      <c r="S70" s="5">
        <v>0.4</v>
      </c>
      <c r="T70" s="4">
        <v>113048</v>
      </c>
      <c r="U70" s="4">
        <v>395669</v>
      </c>
      <c r="V70" s="6">
        <f t="shared" si="2"/>
        <v>10683.063000000002</v>
      </c>
      <c r="W70" s="6">
        <f t="shared" si="3"/>
        <v>384985.93699999998</v>
      </c>
    </row>
    <row r="71" spans="1:23" x14ac:dyDescent="0.3">
      <c r="A71" s="2" t="s">
        <v>21</v>
      </c>
      <c r="B71" s="2">
        <v>4.0279999999999996</v>
      </c>
      <c r="C71" s="2">
        <v>2000391695</v>
      </c>
      <c r="D71" s="2">
        <v>37.1</v>
      </c>
      <c r="E71" s="2"/>
      <c r="F71" s="2">
        <v>900</v>
      </c>
      <c r="G71" s="2">
        <v>1500</v>
      </c>
      <c r="H71" s="2"/>
      <c r="I71" s="2"/>
      <c r="J71" s="3">
        <f>IF(A71="Upgrade",IF(OR(H71=4,H71=5),VLOOKUP(I71,'Renewal Rates'!$A$22:$B$27,2,FALSE),2.7%),IF(A71="Renewal",100%,0%))</f>
        <v>2.7000000000000003E-2</v>
      </c>
      <c r="K71" s="2" t="s">
        <v>22</v>
      </c>
      <c r="L71" s="2">
        <v>374</v>
      </c>
      <c r="M71" s="2" t="s">
        <v>23</v>
      </c>
      <c r="N71" s="2" t="s">
        <v>24</v>
      </c>
      <c r="O71" s="4">
        <v>319241</v>
      </c>
      <c r="P71" s="4">
        <v>8608</v>
      </c>
      <c r="Q71" s="4">
        <v>108542</v>
      </c>
      <c r="R71" s="4">
        <v>427784</v>
      </c>
      <c r="S71" s="5">
        <v>0.4</v>
      </c>
      <c r="T71" s="4">
        <v>171113</v>
      </c>
      <c r="U71" s="4">
        <v>598897</v>
      </c>
      <c r="V71" s="6">
        <f t="shared" si="2"/>
        <v>16170.219000000003</v>
      </c>
      <c r="W71" s="6">
        <f t="shared" si="3"/>
        <v>582726.78099999996</v>
      </c>
    </row>
    <row r="72" spans="1:23" x14ac:dyDescent="0.3">
      <c r="A72" s="2" t="s">
        <v>21</v>
      </c>
      <c r="B72" s="2">
        <v>4.0279999999999996</v>
      </c>
      <c r="C72" s="2">
        <v>2000181397</v>
      </c>
      <c r="D72" s="2">
        <v>68.900000000000006</v>
      </c>
      <c r="E72" s="2"/>
      <c r="F72" s="2">
        <v>900</v>
      </c>
      <c r="G72" s="2">
        <v>1500</v>
      </c>
      <c r="H72" s="2"/>
      <c r="I72" s="2"/>
      <c r="J72" s="3">
        <f>IF(A72="Upgrade",IF(OR(H72=4,H72=5),VLOOKUP(I72,'Renewal Rates'!$A$22:$B$27,2,FALSE),2.7%),IF(A72="Renewal",100%,0%))</f>
        <v>2.7000000000000003E-2</v>
      </c>
      <c r="K72" s="2" t="s">
        <v>22</v>
      </c>
      <c r="L72" s="2">
        <v>374</v>
      </c>
      <c r="M72" s="2" t="s">
        <v>23</v>
      </c>
      <c r="N72" s="2" t="s">
        <v>24</v>
      </c>
      <c r="O72" s="4">
        <v>571410</v>
      </c>
      <c r="P72" s="4">
        <v>8294</v>
      </c>
      <c r="Q72" s="4">
        <v>194279</v>
      </c>
      <c r="R72" s="4">
        <v>765689</v>
      </c>
      <c r="S72" s="5">
        <v>0.4</v>
      </c>
      <c r="T72" s="4">
        <v>306276</v>
      </c>
      <c r="U72" s="4">
        <v>1071965</v>
      </c>
      <c r="V72" s="6">
        <f t="shared" si="2"/>
        <v>28943.055000000004</v>
      </c>
      <c r="W72" s="6">
        <f t="shared" si="3"/>
        <v>1043021.9449999999</v>
      </c>
    </row>
    <row r="73" spans="1:23" x14ac:dyDescent="0.3">
      <c r="A73" s="2" t="s">
        <v>21</v>
      </c>
      <c r="B73" s="2">
        <v>4.0279999999999996</v>
      </c>
      <c r="C73" s="2">
        <v>2000463700</v>
      </c>
      <c r="D73" s="2">
        <v>78.2</v>
      </c>
      <c r="E73" s="2"/>
      <c r="F73" s="2">
        <v>900</v>
      </c>
      <c r="G73" s="2">
        <v>1500</v>
      </c>
      <c r="H73" s="2"/>
      <c r="I73" s="2"/>
      <c r="J73" s="3">
        <f>IF(A73="Upgrade",IF(OR(H73=4,H73=5),VLOOKUP(I73,'Renewal Rates'!$A$22:$B$27,2,FALSE),2.7%),IF(A73="Renewal",100%,0%))</f>
        <v>2.7000000000000003E-2</v>
      </c>
      <c r="K73" s="2" t="s">
        <v>22</v>
      </c>
      <c r="L73" s="2">
        <v>374</v>
      </c>
      <c r="M73" s="2" t="s">
        <v>23</v>
      </c>
      <c r="N73" s="2" t="s">
        <v>24</v>
      </c>
      <c r="O73" s="4">
        <v>644998</v>
      </c>
      <c r="P73" s="4">
        <v>8253</v>
      </c>
      <c r="Q73" s="4">
        <v>219299</v>
      </c>
      <c r="R73" s="4">
        <v>864298</v>
      </c>
      <c r="S73" s="5">
        <v>0.4</v>
      </c>
      <c r="T73" s="4">
        <v>345719</v>
      </c>
      <c r="U73" s="4">
        <v>1210017</v>
      </c>
      <c r="V73" s="6">
        <f t="shared" si="2"/>
        <v>32670.459000000003</v>
      </c>
      <c r="W73" s="6">
        <f t="shared" si="3"/>
        <v>1177346.541</v>
      </c>
    </row>
    <row r="74" spans="1:23" x14ac:dyDescent="0.3">
      <c r="A74" s="2" t="s">
        <v>21</v>
      </c>
      <c r="B74" s="2">
        <v>4.0270000000000001</v>
      </c>
      <c r="C74" s="2">
        <v>2000875751</v>
      </c>
      <c r="D74" s="2">
        <v>91.5</v>
      </c>
      <c r="E74" s="2"/>
      <c r="F74" s="2">
        <v>150</v>
      </c>
      <c r="G74" s="2">
        <v>450</v>
      </c>
      <c r="H74" s="2"/>
      <c r="I74" s="2"/>
      <c r="J74" s="3">
        <f>IF(A74="Upgrade",IF(OR(H74=4,H74=5),VLOOKUP(I74,'Renewal Rates'!$A$22:$B$27,2,FALSE),2.7%),IF(A74="Renewal",100%,0%))</f>
        <v>2.7000000000000003E-2</v>
      </c>
      <c r="K74" s="2" t="s">
        <v>22</v>
      </c>
      <c r="L74" s="2">
        <v>374</v>
      </c>
      <c r="M74" s="2" t="s">
        <v>23</v>
      </c>
      <c r="N74" s="2" t="s">
        <v>24</v>
      </c>
      <c r="O74" s="4">
        <v>245592</v>
      </c>
      <c r="P74" s="4">
        <v>2683</v>
      </c>
      <c r="Q74" s="4">
        <v>83501</v>
      </c>
      <c r="R74" s="4">
        <v>329093</v>
      </c>
      <c r="S74" s="5">
        <v>0.4</v>
      </c>
      <c r="T74" s="4">
        <v>131637</v>
      </c>
      <c r="U74" s="4">
        <v>460731</v>
      </c>
      <c r="V74" s="6">
        <f t="shared" si="2"/>
        <v>12439.737000000001</v>
      </c>
      <c r="W74" s="6">
        <f t="shared" si="3"/>
        <v>448291.26299999998</v>
      </c>
    </row>
    <row r="75" spans="1:23" x14ac:dyDescent="0.3">
      <c r="A75" s="2" t="s">
        <v>21</v>
      </c>
      <c r="B75" s="2">
        <v>4.0289999999999999</v>
      </c>
      <c r="C75" s="2">
        <v>2000673218</v>
      </c>
      <c r="D75" s="2">
        <v>52.6</v>
      </c>
      <c r="E75" s="2"/>
      <c r="F75" s="2">
        <v>750</v>
      </c>
      <c r="G75" s="2">
        <v>1350</v>
      </c>
      <c r="H75" s="2"/>
      <c r="I75" s="2"/>
      <c r="J75" s="3">
        <f>IF(A75="Upgrade",IF(OR(H75=4,H75=5),VLOOKUP(I75,'Renewal Rates'!$A$22:$B$27,2,FALSE),2.7%),IF(A75="Renewal",100%,0%))</f>
        <v>2.7000000000000003E-2</v>
      </c>
      <c r="K75" s="2" t="s">
        <v>22</v>
      </c>
      <c r="L75" s="2">
        <v>374</v>
      </c>
      <c r="M75" s="2" t="s">
        <v>23</v>
      </c>
      <c r="N75" s="2" t="s">
        <v>24</v>
      </c>
      <c r="O75" s="4">
        <v>391924</v>
      </c>
      <c r="P75" s="4">
        <v>7456</v>
      </c>
      <c r="Q75" s="4">
        <v>133254</v>
      </c>
      <c r="R75" s="4">
        <v>525178</v>
      </c>
      <c r="S75" s="5">
        <v>0.4</v>
      </c>
      <c r="T75" s="4">
        <v>210071</v>
      </c>
      <c r="U75" s="4">
        <v>735249</v>
      </c>
      <c r="V75" s="6">
        <f t="shared" si="2"/>
        <v>19851.723000000002</v>
      </c>
      <c r="W75" s="6">
        <f t="shared" si="3"/>
        <v>715397.277</v>
      </c>
    </row>
    <row r="76" spans="1:23" x14ac:dyDescent="0.3">
      <c r="A76" s="2" t="s">
        <v>21</v>
      </c>
      <c r="B76" s="2">
        <v>4.0289999999999999</v>
      </c>
      <c r="C76" s="2">
        <v>2000917975</v>
      </c>
      <c r="D76" s="2">
        <v>38.799999999999997</v>
      </c>
      <c r="E76" s="2"/>
      <c r="F76" s="2">
        <v>750</v>
      </c>
      <c r="G76" s="2">
        <v>1350</v>
      </c>
      <c r="H76" s="2"/>
      <c r="I76" s="2"/>
      <c r="J76" s="3">
        <f>IF(A76="Upgrade",IF(OR(H76=4,H76=5),VLOOKUP(I76,'Renewal Rates'!$A$22:$B$27,2,FALSE),2.7%),IF(A76="Renewal",100%,0%))</f>
        <v>2.7000000000000003E-2</v>
      </c>
      <c r="K76" s="2" t="s">
        <v>22</v>
      </c>
      <c r="L76" s="2">
        <v>374</v>
      </c>
      <c r="M76" s="2" t="s">
        <v>23</v>
      </c>
      <c r="N76" s="2" t="s">
        <v>24</v>
      </c>
      <c r="O76" s="4">
        <v>289397</v>
      </c>
      <c r="P76" s="4">
        <v>7452</v>
      </c>
      <c r="Q76" s="4">
        <v>98395</v>
      </c>
      <c r="R76" s="4">
        <v>387791</v>
      </c>
      <c r="S76" s="5">
        <v>0.4</v>
      </c>
      <c r="T76" s="4">
        <v>155117</v>
      </c>
      <c r="U76" s="4">
        <v>542908</v>
      </c>
      <c r="V76" s="6">
        <f t="shared" si="2"/>
        <v>14658.516000000001</v>
      </c>
      <c r="W76" s="6">
        <f t="shared" si="3"/>
        <v>528249.48400000005</v>
      </c>
    </row>
    <row r="77" spans="1:23" x14ac:dyDescent="0.3">
      <c r="A77" s="2" t="s">
        <v>21</v>
      </c>
      <c r="B77" s="2">
        <v>4.03</v>
      </c>
      <c r="C77" s="2">
        <v>2000011819</v>
      </c>
      <c r="D77" s="2">
        <v>6.7</v>
      </c>
      <c r="E77" s="2"/>
      <c r="F77" s="2">
        <v>300</v>
      </c>
      <c r="G77" s="2">
        <v>900</v>
      </c>
      <c r="H77" s="2"/>
      <c r="I77" s="2"/>
      <c r="J77" s="3">
        <f>IF(A77="Upgrade",IF(OR(H77=4,H77=5),VLOOKUP(I77,'Renewal Rates'!$A$22:$B$27,2,FALSE),2.7%),IF(A77="Renewal",100%,0%))</f>
        <v>2.7000000000000003E-2</v>
      </c>
      <c r="K77" s="2" t="s">
        <v>22</v>
      </c>
      <c r="L77" s="2">
        <v>374</v>
      </c>
      <c r="M77" s="2" t="s">
        <v>23</v>
      </c>
      <c r="N77" s="2" t="s">
        <v>24</v>
      </c>
      <c r="O77" s="4">
        <v>86665</v>
      </c>
      <c r="P77" s="4">
        <v>12840</v>
      </c>
      <c r="Q77" s="4">
        <v>29466</v>
      </c>
      <c r="R77" s="4">
        <v>116130</v>
      </c>
      <c r="S77" s="5">
        <v>0.4</v>
      </c>
      <c r="T77" s="4">
        <v>46452</v>
      </c>
      <c r="U77" s="4">
        <v>162583</v>
      </c>
      <c r="V77" s="6">
        <f t="shared" si="2"/>
        <v>4389.7410000000009</v>
      </c>
      <c r="W77" s="6">
        <f t="shared" si="3"/>
        <v>158193.25899999999</v>
      </c>
    </row>
    <row r="78" spans="1:23" x14ac:dyDescent="0.3">
      <c r="A78" s="2" t="s">
        <v>21</v>
      </c>
      <c r="B78" s="2">
        <v>4.03</v>
      </c>
      <c r="C78" s="2">
        <v>2000104244</v>
      </c>
      <c r="D78" s="2">
        <v>128.30000000000001</v>
      </c>
      <c r="E78" s="2"/>
      <c r="F78" s="2">
        <v>300</v>
      </c>
      <c r="G78" s="2">
        <v>900</v>
      </c>
      <c r="H78" s="2"/>
      <c r="I78" s="2"/>
      <c r="J78" s="3">
        <f>IF(A78="Upgrade",IF(OR(H78=4,H78=5),VLOOKUP(I78,'Renewal Rates'!$A$22:$B$27,2,FALSE),2.7%),IF(A78="Renewal",100%,0%))</f>
        <v>2.7000000000000003E-2</v>
      </c>
      <c r="K78" s="2" t="s">
        <v>22</v>
      </c>
      <c r="L78" s="2">
        <v>374</v>
      </c>
      <c r="M78" s="2" t="s">
        <v>23</v>
      </c>
      <c r="N78" s="2" t="s">
        <v>24</v>
      </c>
      <c r="O78" s="4">
        <v>678745</v>
      </c>
      <c r="P78" s="4">
        <v>5289</v>
      </c>
      <c r="Q78" s="4">
        <v>230773</v>
      </c>
      <c r="R78" s="4">
        <v>909518</v>
      </c>
      <c r="S78" s="5">
        <v>0.4</v>
      </c>
      <c r="T78" s="4">
        <v>363807</v>
      </c>
      <c r="U78" s="4">
        <v>1273325</v>
      </c>
      <c r="V78" s="6">
        <f t="shared" si="2"/>
        <v>34379.775000000001</v>
      </c>
      <c r="W78" s="6">
        <f t="shared" si="3"/>
        <v>1238945.2250000001</v>
      </c>
    </row>
    <row r="79" spans="1:23" x14ac:dyDescent="0.3">
      <c r="A79" s="2" t="s">
        <v>21</v>
      </c>
      <c r="B79" s="2">
        <v>4.0490000000000004</v>
      </c>
      <c r="C79" s="2">
        <v>2000356296</v>
      </c>
      <c r="D79" s="2">
        <v>11.6</v>
      </c>
      <c r="E79" s="2"/>
      <c r="F79" s="2">
        <v>750</v>
      </c>
      <c r="G79" s="2">
        <v>975</v>
      </c>
      <c r="H79" s="2"/>
      <c r="I79" s="2"/>
      <c r="J79" s="3">
        <f>IF(A79="Upgrade",IF(OR(H79=4,H79=5),VLOOKUP(I79,'Renewal Rates'!$A$22:$B$27,2,FALSE),2.7%),IF(A79="Renewal",100%,0%))</f>
        <v>2.7000000000000003E-2</v>
      </c>
      <c r="K79" s="2" t="s">
        <v>22</v>
      </c>
      <c r="L79" s="2">
        <v>374</v>
      </c>
      <c r="M79" s="2" t="s">
        <v>23</v>
      </c>
      <c r="N79" s="2" t="s">
        <v>24</v>
      </c>
      <c r="O79" s="4">
        <v>111272</v>
      </c>
      <c r="P79" s="4">
        <v>9563</v>
      </c>
      <c r="Q79" s="4">
        <v>37833</v>
      </c>
      <c r="R79" s="4">
        <v>149105</v>
      </c>
      <c r="S79" s="5">
        <v>0.4</v>
      </c>
      <c r="T79" s="4">
        <v>59642</v>
      </c>
      <c r="U79" s="4">
        <v>208747</v>
      </c>
      <c r="V79" s="6">
        <f t="shared" si="2"/>
        <v>5636.1690000000008</v>
      </c>
      <c r="W79" s="6">
        <f t="shared" si="3"/>
        <v>203110.83100000001</v>
      </c>
    </row>
    <row r="80" spans="1:23" x14ac:dyDescent="0.3">
      <c r="A80" s="2" t="s">
        <v>21</v>
      </c>
      <c r="B80" s="2">
        <v>4.0490000000000004</v>
      </c>
      <c r="C80" s="2">
        <v>2000504679</v>
      </c>
      <c r="D80" s="2">
        <v>64.599999999999994</v>
      </c>
      <c r="E80" s="2"/>
      <c r="F80" s="2">
        <v>750</v>
      </c>
      <c r="G80" s="2">
        <v>975</v>
      </c>
      <c r="H80" s="2"/>
      <c r="I80" s="2"/>
      <c r="J80" s="3">
        <f>IF(A80="Upgrade",IF(OR(H80=4,H80=5),VLOOKUP(I80,'Renewal Rates'!$A$22:$B$27,2,FALSE),2.7%),IF(A80="Renewal",100%,0%))</f>
        <v>2.7000000000000003E-2</v>
      </c>
      <c r="K80" s="2" t="s">
        <v>22</v>
      </c>
      <c r="L80" s="2">
        <v>374</v>
      </c>
      <c r="M80" s="2" t="s">
        <v>23</v>
      </c>
      <c r="N80" s="2" t="s">
        <v>24</v>
      </c>
      <c r="O80" s="4">
        <v>406982</v>
      </c>
      <c r="P80" s="4">
        <v>6303</v>
      </c>
      <c r="Q80" s="4">
        <v>138374</v>
      </c>
      <c r="R80" s="4">
        <v>545356</v>
      </c>
      <c r="S80" s="5">
        <v>0.4</v>
      </c>
      <c r="T80" s="4">
        <v>218143</v>
      </c>
      <c r="U80" s="4">
        <v>763499</v>
      </c>
      <c r="V80" s="6">
        <f t="shared" si="2"/>
        <v>20614.473000000002</v>
      </c>
      <c r="W80" s="6">
        <f t="shared" si="3"/>
        <v>742884.527</v>
      </c>
    </row>
    <row r="81" spans="1:23" x14ac:dyDescent="0.3">
      <c r="A81" s="2" t="s">
        <v>21</v>
      </c>
      <c r="B81" s="2">
        <v>4.048</v>
      </c>
      <c r="C81" s="2">
        <v>2000228149</v>
      </c>
      <c r="D81" s="2">
        <v>36.4</v>
      </c>
      <c r="E81" s="2"/>
      <c r="F81" s="2">
        <v>675</v>
      </c>
      <c r="G81" s="2">
        <v>900</v>
      </c>
      <c r="H81" s="2"/>
      <c r="I81" s="2"/>
      <c r="J81" s="3">
        <f>IF(A81="Upgrade",IF(OR(H81=4,H81=5),VLOOKUP(I81,'Renewal Rates'!$A$22:$B$27,2,FALSE),2.7%),IF(A81="Renewal",100%,0%))</f>
        <v>2.7000000000000003E-2</v>
      </c>
      <c r="K81" s="2" t="s">
        <v>22</v>
      </c>
      <c r="L81" s="2">
        <v>374</v>
      </c>
      <c r="M81" s="2" t="s">
        <v>23</v>
      </c>
      <c r="N81" s="2" t="s">
        <v>24</v>
      </c>
      <c r="O81" s="4">
        <v>204137</v>
      </c>
      <c r="P81" s="4">
        <v>5604</v>
      </c>
      <c r="Q81" s="4">
        <v>69407</v>
      </c>
      <c r="R81" s="4">
        <v>273544</v>
      </c>
      <c r="S81" s="5">
        <v>0.4</v>
      </c>
      <c r="T81" s="4">
        <v>109418</v>
      </c>
      <c r="U81" s="4">
        <v>382962</v>
      </c>
      <c r="V81" s="6">
        <f t="shared" si="2"/>
        <v>10339.974000000002</v>
      </c>
      <c r="W81" s="6">
        <f t="shared" si="3"/>
        <v>372622.02600000001</v>
      </c>
    </row>
    <row r="82" spans="1:23" x14ac:dyDescent="0.3">
      <c r="A82" s="2" t="s">
        <v>21</v>
      </c>
      <c r="B82" s="2">
        <v>4.048</v>
      </c>
      <c r="C82" s="2">
        <v>2000531008</v>
      </c>
      <c r="D82" s="2">
        <v>43.8</v>
      </c>
      <c r="E82" s="2"/>
      <c r="F82" s="2">
        <v>675</v>
      </c>
      <c r="G82" s="2">
        <v>900</v>
      </c>
      <c r="H82" s="2"/>
      <c r="I82" s="2"/>
      <c r="J82" s="3">
        <f>IF(A82="Upgrade",IF(OR(H82=4,H82=5),VLOOKUP(I82,'Renewal Rates'!$A$22:$B$27,2,FALSE),2.7%),IF(A82="Renewal",100%,0%))</f>
        <v>2.7000000000000003E-2</v>
      </c>
      <c r="K82" s="2" t="s">
        <v>22</v>
      </c>
      <c r="L82" s="2">
        <v>374</v>
      </c>
      <c r="M82" s="2" t="s">
        <v>23</v>
      </c>
      <c r="N82" s="2" t="s">
        <v>24</v>
      </c>
      <c r="O82" s="4">
        <v>239307</v>
      </c>
      <c r="P82" s="4">
        <v>5462</v>
      </c>
      <c r="Q82" s="4">
        <v>81364</v>
      </c>
      <c r="R82" s="4">
        <v>320672</v>
      </c>
      <c r="S82" s="5">
        <v>0.4</v>
      </c>
      <c r="T82" s="4">
        <v>128269</v>
      </c>
      <c r="U82" s="4">
        <v>448940</v>
      </c>
      <c r="V82" s="6">
        <f t="shared" si="2"/>
        <v>12121.380000000001</v>
      </c>
      <c r="W82" s="6">
        <f t="shared" si="3"/>
        <v>436818.62</v>
      </c>
    </row>
    <row r="83" spans="1:23" x14ac:dyDescent="0.3">
      <c r="A83" s="2" t="s">
        <v>21</v>
      </c>
      <c r="B83" s="2">
        <v>4.048</v>
      </c>
      <c r="C83" s="2">
        <v>2000074089</v>
      </c>
      <c r="D83" s="2">
        <v>27.8</v>
      </c>
      <c r="E83" s="2"/>
      <c r="F83" s="2">
        <v>675</v>
      </c>
      <c r="G83" s="2">
        <v>900</v>
      </c>
      <c r="H83" s="2"/>
      <c r="I83" s="2"/>
      <c r="J83" s="3">
        <f>IF(A83="Upgrade",IF(OR(H83=4,H83=5),VLOOKUP(I83,'Renewal Rates'!$A$22:$B$27,2,FALSE),2.7%),IF(A83="Renewal",100%,0%))</f>
        <v>2.7000000000000003E-2</v>
      </c>
      <c r="K83" s="2" t="s">
        <v>22</v>
      </c>
      <c r="L83" s="2">
        <v>374</v>
      </c>
      <c r="M83" s="2" t="s">
        <v>23</v>
      </c>
      <c r="N83" s="2" t="s">
        <v>24</v>
      </c>
      <c r="O83" s="4">
        <v>166833</v>
      </c>
      <c r="P83" s="4">
        <v>6007</v>
      </c>
      <c r="Q83" s="4">
        <v>56723</v>
      </c>
      <c r="R83" s="4">
        <v>223556</v>
      </c>
      <c r="S83" s="5">
        <v>0.4</v>
      </c>
      <c r="T83" s="4">
        <v>89422</v>
      </c>
      <c r="U83" s="4">
        <v>312979</v>
      </c>
      <c r="V83" s="6">
        <f t="shared" si="2"/>
        <v>8450.4330000000009</v>
      </c>
      <c r="W83" s="6">
        <f t="shared" si="3"/>
        <v>304528.56699999998</v>
      </c>
    </row>
    <row r="84" spans="1:23" x14ac:dyDescent="0.3">
      <c r="A84" s="2" t="s">
        <v>21</v>
      </c>
      <c r="B84" s="2">
        <v>4.048</v>
      </c>
      <c r="C84" s="2">
        <v>2000459925</v>
      </c>
      <c r="D84" s="2">
        <v>57.4</v>
      </c>
      <c r="E84" s="2"/>
      <c r="F84" s="2">
        <v>450</v>
      </c>
      <c r="G84" s="2">
        <v>900</v>
      </c>
      <c r="H84" s="2"/>
      <c r="I84" s="2"/>
      <c r="J84" s="3">
        <f>IF(A84="Upgrade",IF(OR(H84=4,H84=5),VLOOKUP(I84,'Renewal Rates'!$A$22:$B$27,2,FALSE),2.7%),IF(A84="Renewal",100%,0%))</f>
        <v>2.7000000000000003E-2</v>
      </c>
      <c r="K84" s="2" t="s">
        <v>22</v>
      </c>
      <c r="L84" s="2">
        <v>374</v>
      </c>
      <c r="M84" s="2" t="s">
        <v>23</v>
      </c>
      <c r="N84" s="2" t="s">
        <v>24</v>
      </c>
      <c r="O84" s="4">
        <v>331218</v>
      </c>
      <c r="P84" s="4">
        <v>5769</v>
      </c>
      <c r="Q84" s="4">
        <v>112614</v>
      </c>
      <c r="R84" s="4">
        <v>443833</v>
      </c>
      <c r="S84" s="5">
        <v>0.4</v>
      </c>
      <c r="T84" s="4">
        <v>177533</v>
      </c>
      <c r="U84" s="4">
        <v>621366</v>
      </c>
      <c r="V84" s="6">
        <f t="shared" si="2"/>
        <v>16776.882000000001</v>
      </c>
      <c r="W84" s="6">
        <f t="shared" si="3"/>
        <v>604589.11800000002</v>
      </c>
    </row>
    <row r="85" spans="1:23" x14ac:dyDescent="0.3">
      <c r="A85" s="2" t="s">
        <v>21</v>
      </c>
      <c r="B85" s="2">
        <v>4.048</v>
      </c>
      <c r="C85" s="2">
        <v>3000028931</v>
      </c>
      <c r="D85" s="2">
        <v>20.399999999999999</v>
      </c>
      <c r="E85" s="2"/>
      <c r="F85" s="2">
        <v>300</v>
      </c>
      <c r="G85" s="2">
        <v>900</v>
      </c>
      <c r="H85" s="2"/>
      <c r="I85" s="2"/>
      <c r="J85" s="3">
        <f>IF(A85="Upgrade",IF(OR(H85=4,H85=5),VLOOKUP(I85,'Renewal Rates'!$A$22:$B$27,2,FALSE),2.7%),IF(A85="Renewal",100%,0%))</f>
        <v>2.7000000000000003E-2</v>
      </c>
      <c r="K85" s="2" t="s">
        <v>22</v>
      </c>
      <c r="L85" s="2">
        <v>374</v>
      </c>
      <c r="M85" s="2" t="s">
        <v>23</v>
      </c>
      <c r="N85" s="2" t="s">
        <v>24</v>
      </c>
      <c r="O85" s="4">
        <v>131761</v>
      </c>
      <c r="P85" s="4">
        <v>6447</v>
      </c>
      <c r="Q85" s="4">
        <v>44799</v>
      </c>
      <c r="R85" s="4">
        <v>176559</v>
      </c>
      <c r="S85" s="5">
        <v>0.4</v>
      </c>
      <c r="T85" s="4">
        <v>70624</v>
      </c>
      <c r="U85" s="4">
        <v>247183</v>
      </c>
      <c r="V85" s="6">
        <f t="shared" si="2"/>
        <v>6673.9410000000007</v>
      </c>
      <c r="W85" s="6">
        <f t="shared" si="3"/>
        <v>240509.05900000001</v>
      </c>
    </row>
    <row r="86" spans="1:23" x14ac:dyDescent="0.3">
      <c r="A86" s="2" t="s">
        <v>25</v>
      </c>
      <c r="B86" s="2">
        <v>4.0039999999999996</v>
      </c>
      <c r="C86" s="2"/>
      <c r="D86" s="2"/>
      <c r="E86" s="2">
        <v>36.4</v>
      </c>
      <c r="F86" s="2"/>
      <c r="G86" s="2">
        <v>750</v>
      </c>
      <c r="H86" s="2"/>
      <c r="I86" s="2"/>
      <c r="J86" s="3">
        <f>IF(A86="Upgrade",IF(OR(H86=4,H86=5),VLOOKUP(I86,'Renewal Rates'!$A$22:$B$27,2,FALSE),2.7%),IF(A86="Renewal",100%,0%))</f>
        <v>0</v>
      </c>
      <c r="K86" s="2" t="s">
        <v>22</v>
      </c>
      <c r="L86" s="2">
        <v>374</v>
      </c>
      <c r="M86" s="2" t="s">
        <v>23</v>
      </c>
      <c r="N86" s="2" t="s">
        <v>24</v>
      </c>
      <c r="O86" s="4">
        <v>157409</v>
      </c>
      <c r="P86" s="4">
        <v>4320</v>
      </c>
      <c r="Q86" s="4">
        <v>53519</v>
      </c>
      <c r="R86" s="4">
        <v>210928</v>
      </c>
      <c r="S86" s="5">
        <v>0.4</v>
      </c>
      <c r="T86" s="4">
        <v>84371</v>
      </c>
      <c r="U86" s="4">
        <v>295299</v>
      </c>
      <c r="V86" s="6">
        <f t="shared" si="2"/>
        <v>0</v>
      </c>
      <c r="W86" s="6">
        <f t="shared" si="3"/>
        <v>295299</v>
      </c>
    </row>
    <row r="87" spans="1:23" x14ac:dyDescent="0.3">
      <c r="A87" s="2" t="s">
        <v>21</v>
      </c>
      <c r="B87" s="2">
        <v>4.0469999999999997</v>
      </c>
      <c r="C87" s="2">
        <v>2000043106</v>
      </c>
      <c r="D87" s="2">
        <v>33.6</v>
      </c>
      <c r="E87" s="2"/>
      <c r="F87" s="2">
        <v>300</v>
      </c>
      <c r="G87" s="2">
        <v>675</v>
      </c>
      <c r="H87" s="2"/>
      <c r="I87" s="2"/>
      <c r="J87" s="3">
        <f>IF(A87="Upgrade",IF(OR(H87=4,H87=5),VLOOKUP(I87,'Renewal Rates'!$A$22:$B$27,2,FALSE),2.7%),IF(A87="Renewal",100%,0%))</f>
        <v>2.7000000000000003E-2</v>
      </c>
      <c r="K87" s="2" t="s">
        <v>22</v>
      </c>
      <c r="L87" s="2">
        <v>374</v>
      </c>
      <c r="M87" s="2" t="s">
        <v>23</v>
      </c>
      <c r="N87" s="2" t="s">
        <v>24</v>
      </c>
      <c r="O87" s="4">
        <v>171913</v>
      </c>
      <c r="P87" s="4">
        <v>5118</v>
      </c>
      <c r="Q87" s="4">
        <v>58451</v>
      </c>
      <c r="R87" s="4">
        <v>230364</v>
      </c>
      <c r="S87" s="5">
        <v>0.4</v>
      </c>
      <c r="T87" s="4">
        <v>92146</v>
      </c>
      <c r="U87" s="4">
        <v>322509</v>
      </c>
      <c r="V87" s="6">
        <f t="shared" si="2"/>
        <v>8707.7430000000004</v>
      </c>
      <c r="W87" s="6">
        <f t="shared" si="3"/>
        <v>313801.25699999998</v>
      </c>
    </row>
    <row r="88" spans="1:23" x14ac:dyDescent="0.3">
      <c r="A88" s="2" t="s">
        <v>21</v>
      </c>
      <c r="B88" s="2">
        <v>4.0460000000000003</v>
      </c>
      <c r="C88" s="2">
        <v>2000474754</v>
      </c>
      <c r="D88" s="2">
        <v>35.6</v>
      </c>
      <c r="E88" s="2"/>
      <c r="F88" s="2">
        <v>225</v>
      </c>
      <c r="G88" s="2">
        <v>525</v>
      </c>
      <c r="H88" s="2"/>
      <c r="I88" s="2"/>
      <c r="J88" s="3">
        <f>IF(A88="Upgrade",IF(OR(H88=4,H88=5),VLOOKUP(I88,'Renewal Rates'!$A$22:$B$27,2,FALSE),2.7%),IF(A88="Renewal",100%,0%))</f>
        <v>2.7000000000000003E-2</v>
      </c>
      <c r="K88" s="2" t="s">
        <v>22</v>
      </c>
      <c r="L88" s="2">
        <v>374</v>
      </c>
      <c r="M88" s="2" t="s">
        <v>23</v>
      </c>
      <c r="N88" s="2" t="s">
        <v>24</v>
      </c>
      <c r="O88" s="4">
        <v>113865</v>
      </c>
      <c r="P88" s="4">
        <v>3200</v>
      </c>
      <c r="Q88" s="4">
        <v>38714</v>
      </c>
      <c r="R88" s="4">
        <v>152580</v>
      </c>
      <c r="S88" s="5">
        <v>0.4</v>
      </c>
      <c r="T88" s="4">
        <v>61032</v>
      </c>
      <c r="U88" s="4">
        <v>213612</v>
      </c>
      <c r="V88" s="6">
        <f t="shared" si="2"/>
        <v>5767.5240000000003</v>
      </c>
      <c r="W88" s="6">
        <f t="shared" si="3"/>
        <v>207844.476</v>
      </c>
    </row>
    <row r="89" spans="1:23" x14ac:dyDescent="0.3">
      <c r="A89" s="2" t="s">
        <v>21</v>
      </c>
      <c r="B89" s="2">
        <v>4.0460000000000003</v>
      </c>
      <c r="C89" s="2">
        <v>2000717035</v>
      </c>
      <c r="D89" s="2">
        <v>42.4</v>
      </c>
      <c r="E89" s="2"/>
      <c r="F89" s="2">
        <v>225</v>
      </c>
      <c r="G89" s="2">
        <v>525</v>
      </c>
      <c r="H89" s="2"/>
      <c r="I89" s="2"/>
      <c r="J89" s="3">
        <f>IF(A89="Upgrade",IF(OR(H89=4,H89=5),VLOOKUP(I89,'Renewal Rates'!$A$22:$B$27,2,FALSE),2.7%),IF(A89="Renewal",100%,0%))</f>
        <v>2.7000000000000003E-2</v>
      </c>
      <c r="K89" s="2" t="s">
        <v>22</v>
      </c>
      <c r="L89" s="2">
        <v>374</v>
      </c>
      <c r="M89" s="2" t="s">
        <v>23</v>
      </c>
      <c r="N89" s="2" t="s">
        <v>24</v>
      </c>
      <c r="O89" s="4">
        <v>139279</v>
      </c>
      <c r="P89" s="4">
        <v>3283</v>
      </c>
      <c r="Q89" s="4">
        <v>47355</v>
      </c>
      <c r="R89" s="4">
        <v>186634</v>
      </c>
      <c r="S89" s="5">
        <v>0.4</v>
      </c>
      <c r="T89" s="4">
        <v>74653</v>
      </c>
      <c r="U89" s="4">
        <v>261287</v>
      </c>
      <c r="V89" s="6">
        <f t="shared" si="2"/>
        <v>7054.7490000000007</v>
      </c>
      <c r="W89" s="6">
        <f t="shared" si="3"/>
        <v>254232.25099999999</v>
      </c>
    </row>
    <row r="90" spans="1:23" x14ac:dyDescent="0.3">
      <c r="A90" s="2" t="s">
        <v>21</v>
      </c>
      <c r="B90" s="2">
        <v>4.0449999999999999</v>
      </c>
      <c r="C90" s="2">
        <v>2000282449</v>
      </c>
      <c r="D90" s="2">
        <v>74.7</v>
      </c>
      <c r="E90" s="2"/>
      <c r="F90" s="2">
        <v>225</v>
      </c>
      <c r="G90" s="2">
        <v>450</v>
      </c>
      <c r="H90" s="2"/>
      <c r="I90" s="2"/>
      <c r="J90" s="3">
        <f>IF(A90="Upgrade",IF(OR(H90=4,H90=5),VLOOKUP(I90,'Renewal Rates'!$A$22:$B$27,2,FALSE),2.7%),IF(A90="Renewal",100%,0%))</f>
        <v>2.7000000000000003E-2</v>
      </c>
      <c r="K90" s="2" t="s">
        <v>22</v>
      </c>
      <c r="L90" s="2">
        <v>374</v>
      </c>
      <c r="M90" s="2" t="s">
        <v>23</v>
      </c>
      <c r="N90" s="2" t="s">
        <v>24</v>
      </c>
      <c r="O90" s="4">
        <v>214168</v>
      </c>
      <c r="P90" s="4">
        <v>2867</v>
      </c>
      <c r="Q90" s="4">
        <v>72817</v>
      </c>
      <c r="R90" s="4">
        <v>286985</v>
      </c>
      <c r="S90" s="5">
        <v>0.4</v>
      </c>
      <c r="T90" s="4">
        <v>114794</v>
      </c>
      <c r="U90" s="4">
        <v>401780</v>
      </c>
      <c r="V90" s="6">
        <f t="shared" si="2"/>
        <v>10848.060000000001</v>
      </c>
      <c r="W90" s="6">
        <f t="shared" si="3"/>
        <v>390931.94</v>
      </c>
    </row>
    <row r="91" spans="1:23" x14ac:dyDescent="0.3">
      <c r="A91" s="2" t="s">
        <v>21</v>
      </c>
      <c r="B91" s="2">
        <v>4.0529999999999999</v>
      </c>
      <c r="C91" s="2">
        <v>2000739753</v>
      </c>
      <c r="D91" s="2">
        <v>94.9</v>
      </c>
      <c r="E91" s="2"/>
      <c r="F91" s="2">
        <v>450</v>
      </c>
      <c r="G91" s="2">
        <v>750</v>
      </c>
      <c r="H91" s="2"/>
      <c r="I91" s="2"/>
      <c r="J91" s="3">
        <f>IF(A91="Upgrade",IF(OR(H91=4,H91=5),VLOOKUP(I91,'Renewal Rates'!$A$22:$B$27,2,FALSE),2.7%),IF(A91="Renewal",100%,0%))</f>
        <v>2.7000000000000003E-2</v>
      </c>
      <c r="K91" s="2" t="s">
        <v>22</v>
      </c>
      <c r="L91" s="2">
        <v>374</v>
      </c>
      <c r="M91" s="2" t="s">
        <v>23</v>
      </c>
      <c r="N91" s="2" t="s">
        <v>24</v>
      </c>
      <c r="O91" s="4">
        <v>378049</v>
      </c>
      <c r="P91" s="4">
        <v>3983</v>
      </c>
      <c r="Q91" s="4">
        <v>128537</v>
      </c>
      <c r="R91" s="4">
        <v>506586</v>
      </c>
      <c r="S91" s="5">
        <v>0.4</v>
      </c>
      <c r="T91" s="4">
        <v>202634</v>
      </c>
      <c r="U91" s="4">
        <v>709220</v>
      </c>
      <c r="V91" s="6">
        <f t="shared" si="2"/>
        <v>19148.940000000002</v>
      </c>
      <c r="W91" s="6">
        <f t="shared" si="3"/>
        <v>690071.06</v>
      </c>
    </row>
    <row r="92" spans="1:23" x14ac:dyDescent="0.3">
      <c r="A92" s="2" t="s">
        <v>21</v>
      </c>
      <c r="B92" s="2">
        <v>4.0519999999999996</v>
      </c>
      <c r="C92" s="2">
        <v>2000044430</v>
      </c>
      <c r="D92" s="2">
        <v>75.7</v>
      </c>
      <c r="E92" s="2"/>
      <c r="F92" s="2">
        <v>450</v>
      </c>
      <c r="G92" s="2">
        <v>750</v>
      </c>
      <c r="H92" s="2"/>
      <c r="I92" s="2"/>
      <c r="J92" s="3">
        <f>IF(A92="Upgrade",IF(OR(H92=4,H92=5),VLOOKUP(I92,'Renewal Rates'!$A$22:$B$27,2,FALSE),2.7%),IF(A92="Renewal",100%,0%))</f>
        <v>2.7000000000000003E-2</v>
      </c>
      <c r="K92" s="2" t="s">
        <v>22</v>
      </c>
      <c r="L92" s="2">
        <v>374</v>
      </c>
      <c r="M92" s="2" t="s">
        <v>23</v>
      </c>
      <c r="N92" s="2" t="s">
        <v>24</v>
      </c>
      <c r="O92" s="4">
        <v>313040</v>
      </c>
      <c r="P92" s="4">
        <v>4135</v>
      </c>
      <c r="Q92" s="4">
        <v>106433</v>
      </c>
      <c r="R92" s="4">
        <v>419473</v>
      </c>
      <c r="S92" s="5">
        <v>0.4</v>
      </c>
      <c r="T92" s="4">
        <v>167789</v>
      </c>
      <c r="U92" s="4">
        <v>587262</v>
      </c>
      <c r="V92" s="6">
        <f t="shared" si="2"/>
        <v>15856.074000000002</v>
      </c>
      <c r="W92" s="6">
        <f t="shared" si="3"/>
        <v>571405.92599999998</v>
      </c>
    </row>
    <row r="93" spans="1:23" x14ac:dyDescent="0.3">
      <c r="A93" s="2" t="s">
        <v>21</v>
      </c>
      <c r="B93" s="2">
        <v>4.0540000000000003</v>
      </c>
      <c r="C93" s="2">
        <v>2000543089</v>
      </c>
      <c r="D93" s="2">
        <v>22.2</v>
      </c>
      <c r="E93" s="2"/>
      <c r="F93" s="2">
        <v>225</v>
      </c>
      <c r="G93" s="2">
        <v>375</v>
      </c>
      <c r="H93" s="2"/>
      <c r="I93" s="2"/>
      <c r="J93" s="3">
        <f>IF(A93="Upgrade",IF(OR(H93=4,H93=5),VLOOKUP(I93,'Renewal Rates'!$A$22:$B$27,2,FALSE),2.7%),IF(A93="Renewal",100%,0%))</f>
        <v>2.7000000000000003E-2</v>
      </c>
      <c r="K93" s="2" t="s">
        <v>22</v>
      </c>
      <c r="L93" s="2">
        <v>374</v>
      </c>
      <c r="M93" s="2" t="s">
        <v>23</v>
      </c>
      <c r="N93" s="2" t="s">
        <v>24</v>
      </c>
      <c r="O93" s="4">
        <v>66989</v>
      </c>
      <c r="P93" s="4">
        <v>3012</v>
      </c>
      <c r="Q93" s="4">
        <v>22776</v>
      </c>
      <c r="R93" s="4">
        <v>89765</v>
      </c>
      <c r="S93" s="5">
        <v>0.4</v>
      </c>
      <c r="T93" s="4">
        <v>35906</v>
      </c>
      <c r="U93" s="4">
        <v>125671</v>
      </c>
      <c r="V93" s="6">
        <f t="shared" si="2"/>
        <v>3393.1170000000002</v>
      </c>
      <c r="W93" s="6">
        <f t="shared" si="3"/>
        <v>122277.883</v>
      </c>
    </row>
    <row r="94" spans="1:23" x14ac:dyDescent="0.3">
      <c r="A94" s="2" t="s">
        <v>21</v>
      </c>
      <c r="B94" s="2">
        <v>4.0540000000000003</v>
      </c>
      <c r="C94" s="2">
        <v>2000482082</v>
      </c>
      <c r="D94" s="2">
        <v>63.7</v>
      </c>
      <c r="E94" s="2"/>
      <c r="F94" s="2">
        <v>225</v>
      </c>
      <c r="G94" s="2">
        <v>375</v>
      </c>
      <c r="H94" s="2"/>
      <c r="I94" s="2"/>
      <c r="J94" s="3">
        <f>IF(A94="Upgrade",IF(OR(H94=4,H94=5),VLOOKUP(I94,'Renewal Rates'!$A$22:$B$27,2,FALSE),2.7%),IF(A94="Renewal",100%,0%))</f>
        <v>2.7000000000000003E-2</v>
      </c>
      <c r="K94" s="2" t="s">
        <v>22</v>
      </c>
      <c r="L94" s="2">
        <v>374</v>
      </c>
      <c r="M94" s="2" t="s">
        <v>23</v>
      </c>
      <c r="N94" s="2" t="s">
        <v>24</v>
      </c>
      <c r="O94" s="4">
        <v>138978</v>
      </c>
      <c r="P94" s="4">
        <v>2183</v>
      </c>
      <c r="Q94" s="4">
        <v>47252</v>
      </c>
      <c r="R94" s="4">
        <v>186230</v>
      </c>
      <c r="S94" s="5">
        <v>0.4</v>
      </c>
      <c r="T94" s="4">
        <v>74492</v>
      </c>
      <c r="U94" s="4">
        <v>260722</v>
      </c>
      <c r="V94" s="6">
        <f t="shared" si="2"/>
        <v>7039.4940000000006</v>
      </c>
      <c r="W94" s="6">
        <f t="shared" si="3"/>
        <v>253682.50599999999</v>
      </c>
    </row>
    <row r="95" spans="1:23" x14ac:dyDescent="0.3">
      <c r="A95" s="2" t="s">
        <v>21</v>
      </c>
      <c r="B95" s="2">
        <v>4.0510000000000002</v>
      </c>
      <c r="C95" s="2">
        <v>2000879364</v>
      </c>
      <c r="D95" s="2">
        <v>77</v>
      </c>
      <c r="E95" s="2"/>
      <c r="F95" s="2">
        <v>450</v>
      </c>
      <c r="G95" s="2">
        <v>675</v>
      </c>
      <c r="H95" s="2"/>
      <c r="I95" s="2"/>
      <c r="J95" s="3">
        <f>IF(A95="Upgrade",IF(OR(H95=4,H95=5),VLOOKUP(I95,'Renewal Rates'!$A$22:$B$27,2,FALSE),2.7%),IF(A95="Renewal",100%,0%))</f>
        <v>2.7000000000000003E-2</v>
      </c>
      <c r="K95" s="2" t="s">
        <v>22</v>
      </c>
      <c r="L95" s="2">
        <v>374</v>
      </c>
      <c r="M95" s="2" t="s">
        <v>23</v>
      </c>
      <c r="N95" s="2" t="s">
        <v>24</v>
      </c>
      <c r="O95" s="4">
        <v>303175</v>
      </c>
      <c r="P95" s="4">
        <v>3937</v>
      </c>
      <c r="Q95" s="4">
        <v>103080</v>
      </c>
      <c r="R95" s="4">
        <v>406255</v>
      </c>
      <c r="S95" s="5">
        <v>0.4</v>
      </c>
      <c r="T95" s="4">
        <v>162502</v>
      </c>
      <c r="U95" s="4">
        <v>568756</v>
      </c>
      <c r="V95" s="6">
        <f t="shared" si="2"/>
        <v>15356.412000000002</v>
      </c>
      <c r="W95" s="6">
        <f t="shared" si="3"/>
        <v>553399.58799999999</v>
      </c>
    </row>
    <row r="96" spans="1:23" x14ac:dyDescent="0.3">
      <c r="A96" s="2" t="s">
        <v>21</v>
      </c>
      <c r="B96" s="2">
        <v>4.05</v>
      </c>
      <c r="C96" s="2">
        <v>2000907172</v>
      </c>
      <c r="D96" s="2">
        <v>44.6</v>
      </c>
      <c r="E96" s="2"/>
      <c r="F96" s="2">
        <v>225</v>
      </c>
      <c r="G96" s="2">
        <v>525</v>
      </c>
      <c r="H96" s="2"/>
      <c r="I96" s="2"/>
      <c r="J96" s="3">
        <f>IF(A96="Upgrade",IF(OR(H96=4,H96=5),VLOOKUP(I96,'Renewal Rates'!$A$22:$B$27,2,FALSE),2.7%),IF(A96="Renewal",100%,0%))</f>
        <v>2.7000000000000003E-2</v>
      </c>
      <c r="K96" s="2" t="s">
        <v>22</v>
      </c>
      <c r="L96" s="2">
        <v>374</v>
      </c>
      <c r="M96" s="2" t="s">
        <v>23</v>
      </c>
      <c r="N96" s="2" t="s">
        <v>24</v>
      </c>
      <c r="O96" s="4">
        <v>141212</v>
      </c>
      <c r="P96" s="4">
        <v>3163</v>
      </c>
      <c r="Q96" s="4">
        <v>48012</v>
      </c>
      <c r="R96" s="4">
        <v>189224</v>
      </c>
      <c r="S96" s="5">
        <v>0.4</v>
      </c>
      <c r="T96" s="4">
        <v>75689</v>
      </c>
      <c r="U96" s="4">
        <v>264913</v>
      </c>
      <c r="V96" s="6">
        <f t="shared" si="2"/>
        <v>7152.6510000000007</v>
      </c>
      <c r="W96" s="6">
        <f t="shared" si="3"/>
        <v>257760.34899999999</v>
      </c>
    </row>
    <row r="97" spans="1:23" x14ac:dyDescent="0.3">
      <c r="A97" s="2" t="s">
        <v>21</v>
      </c>
      <c r="B97" s="2">
        <v>4.05</v>
      </c>
      <c r="C97" s="2">
        <v>2000804527</v>
      </c>
      <c r="D97" s="2">
        <v>83.5</v>
      </c>
      <c r="E97" s="2"/>
      <c r="F97" s="2">
        <v>225</v>
      </c>
      <c r="G97" s="2">
        <v>525</v>
      </c>
      <c r="H97" s="2"/>
      <c r="I97" s="2"/>
      <c r="J97" s="3">
        <f>IF(A97="Upgrade",IF(OR(H97=4,H97=5),VLOOKUP(I97,'Renewal Rates'!$A$22:$B$27,2,FALSE),2.7%),IF(A97="Renewal",100%,0%))</f>
        <v>2.7000000000000003E-2</v>
      </c>
      <c r="K97" s="2" t="s">
        <v>22</v>
      </c>
      <c r="L97" s="2">
        <v>374</v>
      </c>
      <c r="M97" s="2" t="s">
        <v>23</v>
      </c>
      <c r="N97" s="2" t="s">
        <v>24</v>
      </c>
      <c r="O97" s="4">
        <v>252299</v>
      </c>
      <c r="P97" s="4">
        <v>3022</v>
      </c>
      <c r="Q97" s="4">
        <v>85782</v>
      </c>
      <c r="R97" s="4">
        <v>338081</v>
      </c>
      <c r="S97" s="5">
        <v>0.4</v>
      </c>
      <c r="T97" s="4">
        <v>135232</v>
      </c>
      <c r="U97" s="4">
        <v>473313</v>
      </c>
      <c r="V97" s="6">
        <f t="shared" si="2"/>
        <v>12779.451000000001</v>
      </c>
      <c r="W97" s="6">
        <f t="shared" si="3"/>
        <v>460533.549</v>
      </c>
    </row>
    <row r="98" spans="1:23" x14ac:dyDescent="0.3">
      <c r="A98" s="2" t="s">
        <v>21</v>
      </c>
      <c r="B98" s="2">
        <v>4.05</v>
      </c>
      <c r="C98" s="2">
        <v>2000858710</v>
      </c>
      <c r="D98" s="2">
        <v>56.3</v>
      </c>
      <c r="E98" s="2"/>
      <c r="F98" s="2">
        <v>225</v>
      </c>
      <c r="G98" s="2">
        <v>525</v>
      </c>
      <c r="H98" s="2"/>
      <c r="I98" s="2"/>
      <c r="J98" s="3">
        <f>IF(A98="Upgrade",IF(OR(H98=4,H98=5),VLOOKUP(I98,'Renewal Rates'!$A$22:$B$27,2,FALSE),2.7%),IF(A98="Renewal",100%,0%))</f>
        <v>2.7000000000000003E-2</v>
      </c>
      <c r="K98" s="2" t="s">
        <v>22</v>
      </c>
      <c r="L98" s="2">
        <v>374</v>
      </c>
      <c r="M98" s="2" t="s">
        <v>23</v>
      </c>
      <c r="N98" s="2" t="s">
        <v>24</v>
      </c>
      <c r="O98" s="4">
        <v>189729</v>
      </c>
      <c r="P98" s="4">
        <v>3368</v>
      </c>
      <c r="Q98" s="4">
        <v>64508</v>
      </c>
      <c r="R98" s="4">
        <v>254237</v>
      </c>
      <c r="S98" s="5">
        <v>0.4</v>
      </c>
      <c r="T98" s="4">
        <v>101695</v>
      </c>
      <c r="U98" s="4">
        <v>355932</v>
      </c>
      <c r="V98" s="6">
        <f t="shared" si="2"/>
        <v>9610.1640000000007</v>
      </c>
      <c r="W98" s="6">
        <f t="shared" si="3"/>
        <v>346321.83600000001</v>
      </c>
    </row>
    <row r="99" spans="1:23" x14ac:dyDescent="0.3">
      <c r="A99" s="2" t="s">
        <v>21</v>
      </c>
      <c r="B99" s="2">
        <v>3.0089999999999999</v>
      </c>
      <c r="C99" s="2">
        <v>2000878521</v>
      </c>
      <c r="D99" s="2">
        <v>44.7</v>
      </c>
      <c r="E99" s="2"/>
      <c r="F99" s="2">
        <v>300</v>
      </c>
      <c r="G99" s="2">
        <v>600</v>
      </c>
      <c r="H99" s="2"/>
      <c r="I99" s="2"/>
      <c r="J99" s="3">
        <f>IF(A99="Upgrade",IF(OR(H99=4,H99=5),VLOOKUP(I99,'Renewal Rates'!$A$22:$B$27,2,FALSE),2.7%),IF(A99="Renewal",100%,0%))</f>
        <v>2.7000000000000003E-2</v>
      </c>
      <c r="K99" s="2" t="s">
        <v>22</v>
      </c>
      <c r="L99" s="2">
        <v>374</v>
      </c>
      <c r="M99" s="2" t="s">
        <v>23</v>
      </c>
      <c r="N99" s="2" t="s">
        <v>24</v>
      </c>
      <c r="O99" s="4">
        <v>164407</v>
      </c>
      <c r="P99" s="4">
        <v>3676</v>
      </c>
      <c r="Q99" s="4">
        <v>55898</v>
      </c>
      <c r="R99" s="4">
        <v>220305</v>
      </c>
      <c r="S99" s="5">
        <v>0.4</v>
      </c>
      <c r="T99" s="4">
        <v>88122</v>
      </c>
      <c r="U99" s="4">
        <v>308427</v>
      </c>
      <c r="V99" s="6">
        <f t="shared" si="2"/>
        <v>8327.5290000000005</v>
      </c>
      <c r="W99" s="6">
        <f t="shared" si="3"/>
        <v>300099.47100000002</v>
      </c>
    </row>
    <row r="100" spans="1:23" x14ac:dyDescent="0.3">
      <c r="A100" s="2" t="s">
        <v>21</v>
      </c>
      <c r="B100" s="2">
        <v>4.0549999999999997</v>
      </c>
      <c r="C100" s="2">
        <v>2000712286</v>
      </c>
      <c r="D100" s="2">
        <v>40.4</v>
      </c>
      <c r="E100" s="2"/>
      <c r="F100" s="2">
        <v>300</v>
      </c>
      <c r="G100" s="2">
        <v>525</v>
      </c>
      <c r="H100" s="2"/>
      <c r="I100" s="2"/>
      <c r="J100" s="3">
        <f>IF(A100="Upgrade",IF(OR(H100=4,H100=5),VLOOKUP(I100,'Renewal Rates'!$A$22:$B$27,2,FALSE),2.7%),IF(A100="Renewal",100%,0%))</f>
        <v>2.7000000000000003E-2</v>
      </c>
      <c r="K100" s="2" t="s">
        <v>22</v>
      </c>
      <c r="L100" s="2">
        <v>374</v>
      </c>
      <c r="M100" s="2" t="s">
        <v>23</v>
      </c>
      <c r="N100" s="2" t="s">
        <v>24</v>
      </c>
      <c r="O100" s="4">
        <v>153869</v>
      </c>
      <c r="P100" s="4">
        <v>3810</v>
      </c>
      <c r="Q100" s="4">
        <v>52316</v>
      </c>
      <c r="R100" s="4">
        <v>206185</v>
      </c>
      <c r="S100" s="5">
        <v>0.4</v>
      </c>
      <c r="T100" s="4">
        <v>82474</v>
      </c>
      <c r="U100" s="4">
        <v>288659</v>
      </c>
      <c r="V100" s="6">
        <f t="shared" si="2"/>
        <v>7793.7930000000006</v>
      </c>
      <c r="W100" s="6">
        <f t="shared" si="3"/>
        <v>280865.20699999999</v>
      </c>
    </row>
    <row r="101" spans="1:23" x14ac:dyDescent="0.3">
      <c r="A101" s="2" t="s">
        <v>21</v>
      </c>
      <c r="B101" s="2">
        <v>3.0009999999999999</v>
      </c>
      <c r="C101" s="2">
        <v>2000136402</v>
      </c>
      <c r="D101" s="2">
        <v>43.8</v>
      </c>
      <c r="E101" s="2"/>
      <c r="F101" s="2">
        <v>450</v>
      </c>
      <c r="G101" s="2">
        <v>825</v>
      </c>
      <c r="H101" s="2"/>
      <c r="I101" s="2"/>
      <c r="J101" s="3">
        <f>IF(A101="Upgrade",IF(OR(H101=4,H101=5),VLOOKUP(I101,'Renewal Rates'!$A$22:$B$27,2,FALSE),2.7%),IF(A101="Renewal",100%,0%))</f>
        <v>2.7000000000000003E-2</v>
      </c>
      <c r="K101" s="2" t="s">
        <v>22</v>
      </c>
      <c r="L101" s="2">
        <v>374</v>
      </c>
      <c r="M101" s="2" t="s">
        <v>23</v>
      </c>
      <c r="N101" s="2" t="s">
        <v>24</v>
      </c>
      <c r="O101" s="4">
        <v>236471</v>
      </c>
      <c r="P101" s="4">
        <v>5395</v>
      </c>
      <c r="Q101" s="4">
        <v>80400</v>
      </c>
      <c r="R101" s="4">
        <v>316871</v>
      </c>
      <c r="S101" s="5">
        <v>0.4</v>
      </c>
      <c r="T101" s="4">
        <v>126748</v>
      </c>
      <c r="U101" s="4">
        <v>443619</v>
      </c>
      <c r="V101" s="6">
        <f t="shared" si="2"/>
        <v>11977.713000000002</v>
      </c>
      <c r="W101" s="6">
        <f t="shared" si="3"/>
        <v>431641.28700000001</v>
      </c>
    </row>
    <row r="102" spans="1:23" x14ac:dyDescent="0.3">
      <c r="A102" s="2" t="s">
        <v>21</v>
      </c>
      <c r="B102" s="2">
        <v>4.0229999999999997</v>
      </c>
      <c r="C102" s="2">
        <v>3000146073</v>
      </c>
      <c r="D102" s="2">
        <v>22.1</v>
      </c>
      <c r="E102" s="2"/>
      <c r="F102" s="2">
        <v>225</v>
      </c>
      <c r="G102" s="2">
        <v>600</v>
      </c>
      <c r="H102" s="2"/>
      <c r="I102" s="2"/>
      <c r="J102" s="3">
        <f>IF(A102="Upgrade",IF(OR(H102=4,H102=5),VLOOKUP(I102,'Renewal Rates'!$A$22:$B$27,2,FALSE),2.7%),IF(A102="Renewal",100%,0%))</f>
        <v>2.7000000000000003E-2</v>
      </c>
      <c r="K102" s="2" t="s">
        <v>22</v>
      </c>
      <c r="L102" s="2">
        <v>374</v>
      </c>
      <c r="M102" s="2" t="s">
        <v>23</v>
      </c>
      <c r="N102" s="2" t="s">
        <v>24</v>
      </c>
      <c r="O102" s="4">
        <v>85788</v>
      </c>
      <c r="P102" s="4">
        <v>3876</v>
      </c>
      <c r="Q102" s="4">
        <v>29168</v>
      </c>
      <c r="R102" s="4">
        <v>114956</v>
      </c>
      <c r="S102" s="5">
        <v>0.4</v>
      </c>
      <c r="T102" s="4">
        <v>45982</v>
      </c>
      <c r="U102" s="4">
        <v>160939</v>
      </c>
      <c r="V102" s="6">
        <f t="shared" si="2"/>
        <v>4345.3530000000001</v>
      </c>
      <c r="W102" s="6">
        <f t="shared" si="3"/>
        <v>156593.647</v>
      </c>
    </row>
    <row r="103" spans="1:23" x14ac:dyDescent="0.3">
      <c r="A103" s="2" t="s">
        <v>21</v>
      </c>
      <c r="B103" s="2">
        <v>4.0229999999999997</v>
      </c>
      <c r="C103" s="2">
        <v>2000414229</v>
      </c>
      <c r="D103" s="2">
        <v>35</v>
      </c>
      <c r="E103" s="2"/>
      <c r="F103" s="2">
        <v>225</v>
      </c>
      <c r="G103" s="2">
        <v>600</v>
      </c>
      <c r="H103" s="2"/>
      <c r="I103" s="2"/>
      <c r="J103" s="3">
        <f>IF(A103="Upgrade",IF(OR(H103=4,H103=5),VLOOKUP(I103,'Renewal Rates'!$A$22:$B$27,2,FALSE),2.7%),IF(A103="Renewal",100%,0%))</f>
        <v>2.7000000000000003E-2</v>
      </c>
      <c r="K103" s="2" t="s">
        <v>22</v>
      </c>
      <c r="L103" s="2">
        <v>374</v>
      </c>
      <c r="M103" s="2" t="s">
        <v>23</v>
      </c>
      <c r="N103" s="2" t="s">
        <v>24</v>
      </c>
      <c r="O103" s="4">
        <v>138000</v>
      </c>
      <c r="P103" s="4">
        <v>3940</v>
      </c>
      <c r="Q103" s="4">
        <v>46920</v>
      </c>
      <c r="R103" s="4">
        <v>184919</v>
      </c>
      <c r="S103" s="5">
        <v>0.4</v>
      </c>
      <c r="T103" s="4">
        <v>73968</v>
      </c>
      <c r="U103" s="4">
        <v>258887</v>
      </c>
      <c r="V103" s="6">
        <f t="shared" si="2"/>
        <v>6989.9490000000005</v>
      </c>
      <c r="W103" s="6">
        <f t="shared" si="3"/>
        <v>251897.05100000001</v>
      </c>
    </row>
    <row r="104" spans="1:23" x14ac:dyDescent="0.3">
      <c r="A104" s="2" t="s">
        <v>21</v>
      </c>
      <c r="B104" s="2">
        <v>4.0229999999999997</v>
      </c>
      <c r="C104" s="2">
        <v>2000313718</v>
      </c>
      <c r="D104" s="2">
        <v>23.9</v>
      </c>
      <c r="E104" s="2"/>
      <c r="F104" s="2">
        <v>225</v>
      </c>
      <c r="G104" s="2">
        <v>600</v>
      </c>
      <c r="H104" s="2"/>
      <c r="I104" s="2"/>
      <c r="J104" s="3">
        <f>IF(A104="Upgrade",IF(OR(H104=4,H104=5),VLOOKUP(I104,'Renewal Rates'!$A$22:$B$27,2,FALSE),2.7%),IF(A104="Renewal",100%,0%))</f>
        <v>2.7000000000000003E-2</v>
      </c>
      <c r="K104" s="2" t="s">
        <v>22</v>
      </c>
      <c r="L104" s="2">
        <v>374</v>
      </c>
      <c r="M104" s="2" t="s">
        <v>23</v>
      </c>
      <c r="N104" s="2" t="s">
        <v>24</v>
      </c>
      <c r="O104" s="4">
        <v>107094</v>
      </c>
      <c r="P104" s="4">
        <v>4473</v>
      </c>
      <c r="Q104" s="4">
        <v>36412</v>
      </c>
      <c r="R104" s="4">
        <v>143506</v>
      </c>
      <c r="S104" s="5">
        <v>0.4</v>
      </c>
      <c r="T104" s="4">
        <v>57402</v>
      </c>
      <c r="U104" s="4">
        <v>200908</v>
      </c>
      <c r="V104" s="6">
        <f t="shared" si="2"/>
        <v>5424.5160000000005</v>
      </c>
      <c r="W104" s="6">
        <f t="shared" si="3"/>
        <v>195483.484</v>
      </c>
    </row>
    <row r="105" spans="1:23" x14ac:dyDescent="0.3">
      <c r="A105" s="2" t="s">
        <v>21</v>
      </c>
      <c r="B105" s="2">
        <v>4.0220000000000002</v>
      </c>
      <c r="C105" s="2"/>
      <c r="D105" s="2">
        <v>80.3</v>
      </c>
      <c r="E105" s="2"/>
      <c r="F105" s="2"/>
      <c r="G105" s="2">
        <v>600</v>
      </c>
      <c r="H105" s="2"/>
      <c r="I105" s="2"/>
      <c r="J105" s="3">
        <f>IF(A105="Upgrade",IF(OR(H105=4,H105=5),VLOOKUP(I105,'Renewal Rates'!$A$22:$B$27,2,FALSE),2.7%),IF(A105="Renewal",100%,0%))</f>
        <v>2.7000000000000003E-2</v>
      </c>
      <c r="K105" s="2" t="s">
        <v>22</v>
      </c>
      <c r="L105" s="2">
        <v>374</v>
      </c>
      <c r="M105" s="2" t="s">
        <v>23</v>
      </c>
      <c r="N105" s="2" t="s">
        <v>24</v>
      </c>
      <c r="O105" s="4">
        <v>261549</v>
      </c>
      <c r="P105" s="4">
        <v>3257</v>
      </c>
      <c r="Q105" s="4">
        <v>88927</v>
      </c>
      <c r="R105" s="4">
        <v>350475</v>
      </c>
      <c r="S105" s="5">
        <v>0.4</v>
      </c>
      <c r="T105" s="4">
        <v>140190</v>
      </c>
      <c r="U105" s="4">
        <v>490665</v>
      </c>
      <c r="V105" s="6">
        <f t="shared" si="2"/>
        <v>13247.955000000002</v>
      </c>
      <c r="W105" s="6">
        <f t="shared" si="3"/>
        <v>477417.04499999998</v>
      </c>
    </row>
    <row r="106" spans="1:23" x14ac:dyDescent="0.3">
      <c r="A106" s="2" t="s">
        <v>21</v>
      </c>
      <c r="B106" s="2">
        <v>4.0209999999999999</v>
      </c>
      <c r="C106" s="2">
        <v>2000651925</v>
      </c>
      <c r="D106" s="2">
        <v>35.1</v>
      </c>
      <c r="E106" s="2"/>
      <c r="F106" s="2">
        <v>300</v>
      </c>
      <c r="G106" s="2">
        <v>525</v>
      </c>
      <c r="H106" s="2"/>
      <c r="I106" s="2"/>
      <c r="J106" s="3">
        <f>IF(A106="Upgrade",IF(OR(H106=4,H106=5),VLOOKUP(I106,'Renewal Rates'!$A$22:$B$27,2,FALSE),2.7%),IF(A106="Renewal",100%,0%))</f>
        <v>2.7000000000000003E-2</v>
      </c>
      <c r="K106" s="2" t="s">
        <v>22</v>
      </c>
      <c r="L106" s="2">
        <v>374</v>
      </c>
      <c r="M106" s="2" t="s">
        <v>23</v>
      </c>
      <c r="N106" s="2" t="s">
        <v>24</v>
      </c>
      <c r="O106" s="4">
        <v>113404</v>
      </c>
      <c r="P106" s="4">
        <v>3235</v>
      </c>
      <c r="Q106" s="4">
        <v>38557</v>
      </c>
      <c r="R106" s="4">
        <v>151961</v>
      </c>
      <c r="S106" s="5">
        <v>0.4</v>
      </c>
      <c r="T106" s="4">
        <v>60785</v>
      </c>
      <c r="U106" s="4">
        <v>212746</v>
      </c>
      <c r="V106" s="6">
        <f t="shared" si="2"/>
        <v>5744.1420000000007</v>
      </c>
      <c r="W106" s="6">
        <f t="shared" si="3"/>
        <v>207001.85800000001</v>
      </c>
    </row>
    <row r="107" spans="1:23" x14ac:dyDescent="0.3">
      <c r="A107" s="2" t="s">
        <v>21</v>
      </c>
      <c r="B107" s="2">
        <v>4.0209999999999999</v>
      </c>
      <c r="C107" s="2">
        <v>2000328535</v>
      </c>
      <c r="D107" s="2">
        <v>64.400000000000006</v>
      </c>
      <c r="E107" s="2"/>
      <c r="F107" s="2">
        <v>225</v>
      </c>
      <c r="G107" s="2">
        <v>525</v>
      </c>
      <c r="H107" s="2"/>
      <c r="I107" s="2"/>
      <c r="J107" s="3">
        <f>IF(A107="Upgrade",IF(OR(H107=4,H107=5),VLOOKUP(I107,'Renewal Rates'!$A$22:$B$27,2,FALSE),2.7%),IF(A107="Renewal",100%,0%))</f>
        <v>2.7000000000000003E-2</v>
      </c>
      <c r="K107" s="2" t="s">
        <v>22</v>
      </c>
      <c r="L107" s="2">
        <v>374</v>
      </c>
      <c r="M107" s="2" t="s">
        <v>23</v>
      </c>
      <c r="N107" s="2" t="s">
        <v>24</v>
      </c>
      <c r="O107" s="4">
        <v>183457</v>
      </c>
      <c r="P107" s="4">
        <v>2848</v>
      </c>
      <c r="Q107" s="4">
        <v>62375</v>
      </c>
      <c r="R107" s="4">
        <v>245832</v>
      </c>
      <c r="S107" s="5">
        <v>0.4</v>
      </c>
      <c r="T107" s="4">
        <v>98333</v>
      </c>
      <c r="U107" s="4">
        <v>344165</v>
      </c>
      <c r="V107" s="6">
        <f t="shared" si="2"/>
        <v>9292.4550000000017</v>
      </c>
      <c r="W107" s="6">
        <f t="shared" si="3"/>
        <v>334872.54499999998</v>
      </c>
    </row>
    <row r="108" spans="1:23" x14ac:dyDescent="0.3">
      <c r="A108" s="2" t="s">
        <v>21</v>
      </c>
      <c r="B108" s="2">
        <v>4.0430000000000001</v>
      </c>
      <c r="C108" s="2">
        <v>2000224912</v>
      </c>
      <c r="D108" s="2">
        <v>43.2</v>
      </c>
      <c r="E108" s="2"/>
      <c r="F108" s="2">
        <v>600</v>
      </c>
      <c r="G108" s="2">
        <v>975</v>
      </c>
      <c r="H108" s="2"/>
      <c r="I108" s="2"/>
      <c r="J108" s="3">
        <f>IF(A108="Upgrade",IF(OR(H108=4,H108=5),VLOOKUP(I108,'Renewal Rates'!$A$22:$B$27,2,FALSE),2.7%),IF(A108="Renewal",100%,0%))</f>
        <v>2.7000000000000003E-2</v>
      </c>
      <c r="K108" s="2" t="s">
        <v>22</v>
      </c>
      <c r="L108" s="2">
        <v>374</v>
      </c>
      <c r="M108" s="2" t="s">
        <v>23</v>
      </c>
      <c r="N108" s="2" t="s">
        <v>24</v>
      </c>
      <c r="O108" s="4">
        <v>299601</v>
      </c>
      <c r="P108" s="4">
        <v>6934</v>
      </c>
      <c r="Q108" s="4">
        <v>101864</v>
      </c>
      <c r="R108" s="4">
        <v>401465</v>
      </c>
      <c r="S108" s="5">
        <v>0.4</v>
      </c>
      <c r="T108" s="4">
        <v>160586</v>
      </c>
      <c r="U108" s="4">
        <v>562052</v>
      </c>
      <c r="V108" s="6">
        <f t="shared" si="2"/>
        <v>15175.404000000002</v>
      </c>
      <c r="W108" s="6">
        <f t="shared" si="3"/>
        <v>546876.59600000002</v>
      </c>
    </row>
    <row r="109" spans="1:23" x14ac:dyDescent="0.3">
      <c r="A109" s="2" t="s">
        <v>21</v>
      </c>
      <c r="B109" s="2">
        <v>4.0170000000000003</v>
      </c>
      <c r="C109" s="2">
        <v>2000092098</v>
      </c>
      <c r="D109" s="2">
        <v>40.4</v>
      </c>
      <c r="E109" s="2"/>
      <c r="F109" s="2">
        <v>525</v>
      </c>
      <c r="G109" s="2">
        <v>750</v>
      </c>
      <c r="H109" s="2"/>
      <c r="I109" s="2"/>
      <c r="J109" s="3">
        <f>IF(A109="Upgrade",IF(OR(H109=4,H109=5),VLOOKUP(I109,'Renewal Rates'!$A$22:$B$27,2,FALSE),2.7%),IF(A109="Renewal",100%,0%))</f>
        <v>2.7000000000000003E-2</v>
      </c>
      <c r="K109" s="2" t="s">
        <v>22</v>
      </c>
      <c r="L109" s="2">
        <v>374</v>
      </c>
      <c r="M109" s="2" t="s">
        <v>23</v>
      </c>
      <c r="N109" s="2" t="s">
        <v>24</v>
      </c>
      <c r="O109" s="4">
        <v>182186</v>
      </c>
      <c r="P109" s="4">
        <v>4513</v>
      </c>
      <c r="Q109" s="4">
        <v>61943</v>
      </c>
      <c r="R109" s="4">
        <v>244129</v>
      </c>
      <c r="S109" s="5">
        <v>0.4</v>
      </c>
      <c r="T109" s="4">
        <v>97652</v>
      </c>
      <c r="U109" s="4">
        <v>341781</v>
      </c>
      <c r="V109" s="6">
        <f t="shared" si="2"/>
        <v>9228.0870000000014</v>
      </c>
      <c r="W109" s="6">
        <f t="shared" si="3"/>
        <v>332552.913</v>
      </c>
    </row>
    <row r="110" spans="1:23" x14ac:dyDescent="0.3">
      <c r="A110" s="2" t="s">
        <v>21</v>
      </c>
      <c r="B110" s="2">
        <v>4.0199999999999996</v>
      </c>
      <c r="C110" s="2">
        <v>2000211540</v>
      </c>
      <c r="D110" s="2">
        <v>19.399999999999999</v>
      </c>
      <c r="E110" s="2"/>
      <c r="F110" s="2">
        <v>525</v>
      </c>
      <c r="G110" s="2">
        <v>600</v>
      </c>
      <c r="H110" s="2"/>
      <c r="I110" s="2"/>
      <c r="J110" s="3">
        <f>IF(A110="Upgrade",IF(OR(H110=4,H110=5),VLOOKUP(I110,'Renewal Rates'!$A$22:$B$27,2,FALSE),2.7%),IF(A110="Renewal",100%,0%))</f>
        <v>2.7000000000000003E-2</v>
      </c>
      <c r="K110" s="2" t="s">
        <v>22</v>
      </c>
      <c r="L110" s="2">
        <v>374</v>
      </c>
      <c r="M110" s="2" t="s">
        <v>23</v>
      </c>
      <c r="N110" s="2" t="s">
        <v>24</v>
      </c>
      <c r="O110" s="4">
        <v>82939</v>
      </c>
      <c r="P110" s="4">
        <v>4280</v>
      </c>
      <c r="Q110" s="4">
        <v>28199</v>
      </c>
      <c r="R110" s="4">
        <v>111139</v>
      </c>
      <c r="S110" s="5">
        <v>0.4</v>
      </c>
      <c r="T110" s="4">
        <v>44455</v>
      </c>
      <c r="U110" s="4">
        <v>155594</v>
      </c>
      <c r="V110" s="6">
        <f t="shared" si="2"/>
        <v>4201.0380000000005</v>
      </c>
      <c r="W110" s="6">
        <f t="shared" si="3"/>
        <v>151392.962</v>
      </c>
    </row>
    <row r="111" spans="1:23" x14ac:dyDescent="0.3">
      <c r="A111" s="2" t="s">
        <v>21</v>
      </c>
      <c r="B111" s="2">
        <v>4.0199999999999996</v>
      </c>
      <c r="C111" s="2">
        <v>2000643915</v>
      </c>
      <c r="D111" s="2">
        <v>81</v>
      </c>
      <c r="E111" s="2"/>
      <c r="F111" s="2">
        <v>375</v>
      </c>
      <c r="G111" s="2">
        <v>600</v>
      </c>
      <c r="H111" s="2"/>
      <c r="I111" s="2"/>
      <c r="J111" s="3">
        <f>IF(A111="Upgrade",IF(OR(H111=4,H111=5),VLOOKUP(I111,'Renewal Rates'!$A$22:$B$27,2,FALSE),2.7%),IF(A111="Renewal",100%,0%))</f>
        <v>2.7000000000000003E-2</v>
      </c>
      <c r="K111" s="2" t="s">
        <v>22</v>
      </c>
      <c r="L111" s="2">
        <v>374</v>
      </c>
      <c r="M111" s="2" t="s">
        <v>23</v>
      </c>
      <c r="N111" s="2" t="s">
        <v>24</v>
      </c>
      <c r="O111" s="4">
        <v>262257</v>
      </c>
      <c r="P111" s="4">
        <v>3238</v>
      </c>
      <c r="Q111" s="4">
        <v>89167</v>
      </c>
      <c r="R111" s="4">
        <v>351424</v>
      </c>
      <c r="S111" s="5">
        <v>0.4</v>
      </c>
      <c r="T111" s="4">
        <v>140570</v>
      </c>
      <c r="U111" s="4">
        <v>491994</v>
      </c>
      <c r="V111" s="6">
        <f t="shared" si="2"/>
        <v>13283.838000000002</v>
      </c>
      <c r="W111" s="6">
        <f t="shared" si="3"/>
        <v>478710.16200000001</v>
      </c>
    </row>
    <row r="112" spans="1:23" x14ac:dyDescent="0.3">
      <c r="A112" s="2" t="s">
        <v>21</v>
      </c>
      <c r="B112" s="2">
        <v>4.0190000000000001</v>
      </c>
      <c r="C112" s="2">
        <v>2000940304</v>
      </c>
      <c r="D112" s="2">
        <v>49.7</v>
      </c>
      <c r="E112" s="2"/>
      <c r="F112" s="2">
        <v>375</v>
      </c>
      <c r="G112" s="2">
        <v>525</v>
      </c>
      <c r="H112" s="2"/>
      <c r="I112" s="2"/>
      <c r="J112" s="3">
        <f>IF(A112="Upgrade",IF(OR(H112=4,H112=5),VLOOKUP(I112,'Renewal Rates'!$A$22:$B$27,2,FALSE),2.7%),IF(A112="Renewal",100%,0%))</f>
        <v>2.7000000000000003E-2</v>
      </c>
      <c r="K112" s="2" t="s">
        <v>22</v>
      </c>
      <c r="L112" s="2">
        <v>374</v>
      </c>
      <c r="M112" s="2" t="s">
        <v>23</v>
      </c>
      <c r="N112" s="2" t="s">
        <v>24</v>
      </c>
      <c r="O112" s="4">
        <v>145586</v>
      </c>
      <c r="P112" s="4">
        <v>2932</v>
      </c>
      <c r="Q112" s="4">
        <v>49499</v>
      </c>
      <c r="R112" s="4">
        <v>195086</v>
      </c>
      <c r="S112" s="5">
        <v>0.4</v>
      </c>
      <c r="T112" s="4">
        <v>78034</v>
      </c>
      <c r="U112" s="4">
        <v>273120</v>
      </c>
      <c r="V112" s="6">
        <f t="shared" si="2"/>
        <v>7374.2400000000007</v>
      </c>
      <c r="W112" s="6">
        <f t="shared" si="3"/>
        <v>265745.76</v>
      </c>
    </row>
    <row r="113" spans="1:23" x14ac:dyDescent="0.3">
      <c r="A113" s="2" t="s">
        <v>21</v>
      </c>
      <c r="B113" s="2">
        <v>4.0190000000000001</v>
      </c>
      <c r="C113" s="2">
        <v>2000825401</v>
      </c>
      <c r="D113" s="2">
        <v>35.6</v>
      </c>
      <c r="E113" s="2"/>
      <c r="F113" s="2">
        <v>300</v>
      </c>
      <c r="G113" s="2">
        <v>525</v>
      </c>
      <c r="H113" s="2"/>
      <c r="I113" s="2"/>
      <c r="J113" s="3">
        <f>IF(A113="Upgrade",IF(OR(H113=4,H113=5),VLOOKUP(I113,'Renewal Rates'!$A$22:$B$27,2,FALSE),2.7%),IF(A113="Renewal",100%,0%))</f>
        <v>2.7000000000000003E-2</v>
      </c>
      <c r="K113" s="2" t="s">
        <v>22</v>
      </c>
      <c r="L113" s="2">
        <v>374</v>
      </c>
      <c r="M113" s="2" t="s">
        <v>23</v>
      </c>
      <c r="N113" s="2" t="s">
        <v>24</v>
      </c>
      <c r="O113" s="4">
        <v>113918</v>
      </c>
      <c r="P113" s="4">
        <v>3196</v>
      </c>
      <c r="Q113" s="4">
        <v>38732</v>
      </c>
      <c r="R113" s="4">
        <v>152651</v>
      </c>
      <c r="S113" s="5">
        <v>0.4</v>
      </c>
      <c r="T113" s="4">
        <v>61060</v>
      </c>
      <c r="U113" s="4">
        <v>213711</v>
      </c>
      <c r="V113" s="6">
        <f t="shared" si="2"/>
        <v>5770.197000000001</v>
      </c>
      <c r="W113" s="6">
        <f t="shared" si="3"/>
        <v>207940.80299999999</v>
      </c>
    </row>
    <row r="114" spans="1:23" x14ac:dyDescent="0.3">
      <c r="A114" s="2" t="s">
        <v>21</v>
      </c>
      <c r="B114" s="2">
        <v>4.0179999999999998</v>
      </c>
      <c r="C114" s="2">
        <v>2000227232</v>
      </c>
      <c r="D114" s="2">
        <v>52.8</v>
      </c>
      <c r="E114" s="2"/>
      <c r="F114" s="2">
        <v>225</v>
      </c>
      <c r="G114" s="2">
        <v>450</v>
      </c>
      <c r="H114" s="2"/>
      <c r="I114" s="2"/>
      <c r="J114" s="3">
        <f>IF(A114="Upgrade",IF(OR(H114=4,H114=5),VLOOKUP(I114,'Renewal Rates'!$A$22:$B$27,2,FALSE),2.7%),IF(A114="Renewal",100%,0%))</f>
        <v>2.7000000000000003E-2</v>
      </c>
      <c r="K114" s="2" t="s">
        <v>22</v>
      </c>
      <c r="L114" s="2">
        <v>374</v>
      </c>
      <c r="M114" s="2" t="s">
        <v>23</v>
      </c>
      <c r="N114" s="2" t="s">
        <v>24</v>
      </c>
      <c r="O114" s="4">
        <v>159689</v>
      </c>
      <c r="P114" s="4">
        <v>3023</v>
      </c>
      <c r="Q114" s="4">
        <v>54294</v>
      </c>
      <c r="R114" s="4">
        <v>213983</v>
      </c>
      <c r="S114" s="5">
        <v>0.4</v>
      </c>
      <c r="T114" s="4">
        <v>85593</v>
      </c>
      <c r="U114" s="4">
        <v>299577</v>
      </c>
      <c r="V114" s="6">
        <f t="shared" si="2"/>
        <v>8088.5790000000006</v>
      </c>
      <c r="W114" s="6">
        <f t="shared" si="3"/>
        <v>291488.42099999997</v>
      </c>
    </row>
    <row r="115" spans="1:23" x14ac:dyDescent="0.3">
      <c r="A115" s="2" t="s">
        <v>21</v>
      </c>
      <c r="B115" s="2">
        <v>4.0439999999999996</v>
      </c>
      <c r="C115" s="2">
        <v>2000527887</v>
      </c>
      <c r="D115" s="2">
        <v>58.1</v>
      </c>
      <c r="E115" s="2"/>
      <c r="F115" s="2">
        <v>225</v>
      </c>
      <c r="G115" s="2">
        <v>450</v>
      </c>
      <c r="H115" s="2"/>
      <c r="I115" s="2"/>
      <c r="J115" s="3">
        <f>IF(A115="Upgrade",IF(OR(H115=4,H115=5),VLOOKUP(I115,'Renewal Rates'!$A$22:$B$27,2,FALSE),2.7%),IF(A115="Renewal",100%,0%))</f>
        <v>2.7000000000000003E-2</v>
      </c>
      <c r="K115" s="2" t="s">
        <v>22</v>
      </c>
      <c r="L115" s="2">
        <v>374</v>
      </c>
      <c r="M115" s="2" t="s">
        <v>23</v>
      </c>
      <c r="N115" s="2" t="s">
        <v>24</v>
      </c>
      <c r="O115" s="4">
        <v>182857</v>
      </c>
      <c r="P115" s="4">
        <v>3150</v>
      </c>
      <c r="Q115" s="4">
        <v>62171</v>
      </c>
      <c r="R115" s="4">
        <v>245028</v>
      </c>
      <c r="S115" s="5">
        <v>0.4</v>
      </c>
      <c r="T115" s="4">
        <v>98011</v>
      </c>
      <c r="U115" s="4">
        <v>343039</v>
      </c>
      <c r="V115" s="6">
        <f t="shared" si="2"/>
        <v>9262.0530000000017</v>
      </c>
      <c r="W115" s="6">
        <f t="shared" si="3"/>
        <v>333776.94699999999</v>
      </c>
    </row>
    <row r="116" spans="1:23" x14ac:dyDescent="0.3">
      <c r="A116" s="2" t="s">
        <v>21</v>
      </c>
      <c r="B116" s="2">
        <v>4.016</v>
      </c>
      <c r="C116" s="2">
        <v>2000025359</v>
      </c>
      <c r="D116" s="2">
        <v>33.200000000000003</v>
      </c>
      <c r="E116" s="2"/>
      <c r="F116" s="2">
        <v>375</v>
      </c>
      <c r="G116" s="2">
        <v>750</v>
      </c>
      <c r="H116" s="2"/>
      <c r="I116" s="2"/>
      <c r="J116" s="3">
        <f>IF(A116="Upgrade",IF(OR(H116=4,H116=5),VLOOKUP(I116,'Renewal Rates'!$A$22:$B$27,2,FALSE),2.7%),IF(A116="Renewal",100%,0%))</f>
        <v>2.7000000000000003E-2</v>
      </c>
      <c r="K116" s="2" t="s">
        <v>22</v>
      </c>
      <c r="L116" s="2">
        <v>374</v>
      </c>
      <c r="M116" s="2" t="s">
        <v>23</v>
      </c>
      <c r="N116" s="2" t="s">
        <v>24</v>
      </c>
      <c r="O116" s="4">
        <v>153025</v>
      </c>
      <c r="P116" s="4">
        <v>4607</v>
      </c>
      <c r="Q116" s="4">
        <v>52029</v>
      </c>
      <c r="R116" s="4">
        <v>205054</v>
      </c>
      <c r="S116" s="5">
        <v>0.4</v>
      </c>
      <c r="T116" s="4">
        <v>82021</v>
      </c>
      <c r="U116" s="4">
        <v>287075</v>
      </c>
      <c r="V116" s="6">
        <f t="shared" si="2"/>
        <v>7751.0250000000005</v>
      </c>
      <c r="W116" s="6">
        <f t="shared" si="3"/>
        <v>279323.97499999998</v>
      </c>
    </row>
    <row r="117" spans="1:23" x14ac:dyDescent="0.3">
      <c r="A117" s="2" t="s">
        <v>21</v>
      </c>
      <c r="B117" s="2">
        <v>4.016</v>
      </c>
      <c r="C117" s="2">
        <v>2000161777</v>
      </c>
      <c r="D117" s="2">
        <v>71.900000000000006</v>
      </c>
      <c r="E117" s="2"/>
      <c r="F117" s="2">
        <v>300</v>
      </c>
      <c r="G117" s="2">
        <v>750</v>
      </c>
      <c r="H117" s="2"/>
      <c r="I117" s="2"/>
      <c r="J117" s="3">
        <f>IF(A117="Upgrade",IF(OR(H117=4,H117=5),VLOOKUP(I117,'Renewal Rates'!$A$22:$B$27,2,FALSE),2.7%),IF(A117="Renewal",100%,0%))</f>
        <v>2.7000000000000003E-2</v>
      </c>
      <c r="K117" s="2" t="s">
        <v>22</v>
      </c>
      <c r="L117" s="2">
        <v>374</v>
      </c>
      <c r="M117" s="2" t="s">
        <v>23</v>
      </c>
      <c r="N117" s="2" t="s">
        <v>24</v>
      </c>
      <c r="O117" s="4">
        <v>331208</v>
      </c>
      <c r="P117" s="4">
        <v>4609</v>
      </c>
      <c r="Q117" s="4">
        <v>112611</v>
      </c>
      <c r="R117" s="4">
        <v>443818</v>
      </c>
      <c r="S117" s="5">
        <v>0.4</v>
      </c>
      <c r="T117" s="4">
        <v>177527</v>
      </c>
      <c r="U117" s="4">
        <v>621346</v>
      </c>
      <c r="V117" s="6">
        <f t="shared" si="2"/>
        <v>16776.342000000001</v>
      </c>
      <c r="W117" s="6">
        <f t="shared" si="3"/>
        <v>604569.65800000005</v>
      </c>
    </row>
    <row r="118" spans="1:23" x14ac:dyDescent="0.3">
      <c r="A118" s="2" t="s">
        <v>21</v>
      </c>
      <c r="B118" s="2">
        <v>4.016</v>
      </c>
      <c r="C118" s="2">
        <v>2000538482</v>
      </c>
      <c r="D118" s="2">
        <v>60.7</v>
      </c>
      <c r="E118" s="2"/>
      <c r="F118" s="2">
        <v>225</v>
      </c>
      <c r="G118" s="2">
        <v>750</v>
      </c>
      <c r="H118" s="2"/>
      <c r="I118" s="2"/>
      <c r="J118" s="3">
        <f>IF(A118="Upgrade",IF(OR(H118=4,H118=5),VLOOKUP(I118,'Renewal Rates'!$A$22:$B$27,2,FALSE),2.7%),IF(A118="Renewal",100%,0%))</f>
        <v>2.7000000000000003E-2</v>
      </c>
      <c r="K118" s="2" t="s">
        <v>22</v>
      </c>
      <c r="L118" s="2">
        <v>374</v>
      </c>
      <c r="M118" s="2" t="s">
        <v>23</v>
      </c>
      <c r="N118" s="2" t="s">
        <v>24</v>
      </c>
      <c r="O118" s="4">
        <v>273195</v>
      </c>
      <c r="P118" s="4">
        <v>4501</v>
      </c>
      <c r="Q118" s="4">
        <v>92886</v>
      </c>
      <c r="R118" s="4">
        <v>366081</v>
      </c>
      <c r="S118" s="5">
        <v>0.4</v>
      </c>
      <c r="T118" s="4">
        <v>146432</v>
      </c>
      <c r="U118" s="4">
        <v>512513</v>
      </c>
      <c r="V118" s="6">
        <f t="shared" si="2"/>
        <v>13837.851000000002</v>
      </c>
      <c r="W118" s="6">
        <f t="shared" si="3"/>
        <v>498675.14899999998</v>
      </c>
    </row>
    <row r="119" spans="1:23" x14ac:dyDescent="0.3">
      <c r="A119" s="2" t="s">
        <v>21</v>
      </c>
      <c r="B119" s="2">
        <v>4.016</v>
      </c>
      <c r="C119" s="2">
        <v>2000376426</v>
      </c>
      <c r="D119" s="2">
        <v>12.3</v>
      </c>
      <c r="E119" s="2"/>
      <c r="F119" s="2">
        <v>225</v>
      </c>
      <c r="G119" s="2">
        <v>750</v>
      </c>
      <c r="H119" s="2"/>
      <c r="I119" s="2"/>
      <c r="J119" s="3">
        <f>IF(A119="Upgrade",IF(OR(H119=4,H119=5),VLOOKUP(I119,'Renewal Rates'!$A$22:$B$27,2,FALSE),2.7%),IF(A119="Renewal",100%,0%))</f>
        <v>2.7000000000000003E-2</v>
      </c>
      <c r="K119" s="2" t="s">
        <v>22</v>
      </c>
      <c r="L119" s="2">
        <v>374</v>
      </c>
      <c r="M119" s="2" t="s">
        <v>23</v>
      </c>
      <c r="N119" s="2" t="s">
        <v>24</v>
      </c>
      <c r="O119" s="4">
        <v>85734</v>
      </c>
      <c r="P119" s="4">
        <v>6960</v>
      </c>
      <c r="Q119" s="4">
        <v>29150</v>
      </c>
      <c r="R119" s="4">
        <v>114884</v>
      </c>
      <c r="S119" s="5">
        <v>0.4</v>
      </c>
      <c r="T119" s="4">
        <v>45954</v>
      </c>
      <c r="U119" s="4">
        <v>160838</v>
      </c>
      <c r="V119" s="6">
        <f t="shared" si="2"/>
        <v>4342.6260000000002</v>
      </c>
      <c r="W119" s="6">
        <f t="shared" si="3"/>
        <v>156495.37400000001</v>
      </c>
    </row>
    <row r="120" spans="1:23" x14ac:dyDescent="0.3">
      <c r="A120" s="2" t="s">
        <v>21</v>
      </c>
      <c r="B120" s="2">
        <v>4.016</v>
      </c>
      <c r="C120" s="2">
        <v>2000694497</v>
      </c>
      <c r="D120" s="2">
        <v>82.9</v>
      </c>
      <c r="E120" s="2"/>
      <c r="F120" s="2">
        <v>225</v>
      </c>
      <c r="G120" s="2">
        <v>750</v>
      </c>
      <c r="H120" s="2"/>
      <c r="I120" s="2"/>
      <c r="J120" s="3">
        <f>IF(A120="Upgrade",IF(OR(H120=4,H120=5),VLOOKUP(I120,'Renewal Rates'!$A$22:$B$27,2,FALSE),2.7%),IF(A120="Renewal",100%,0%))</f>
        <v>2.7000000000000003E-2</v>
      </c>
      <c r="K120" s="2" t="s">
        <v>22</v>
      </c>
      <c r="L120" s="2">
        <v>374</v>
      </c>
      <c r="M120" s="2" t="s">
        <v>23</v>
      </c>
      <c r="N120" s="2" t="s">
        <v>24</v>
      </c>
      <c r="O120" s="4">
        <v>342226</v>
      </c>
      <c r="P120" s="4">
        <v>4129</v>
      </c>
      <c r="Q120" s="4">
        <v>116357</v>
      </c>
      <c r="R120" s="4">
        <v>458584</v>
      </c>
      <c r="S120" s="5">
        <v>0.4</v>
      </c>
      <c r="T120" s="4">
        <v>183433</v>
      </c>
      <c r="U120" s="4">
        <v>642017</v>
      </c>
      <c r="V120" s="6">
        <f t="shared" si="2"/>
        <v>17334.459000000003</v>
      </c>
      <c r="W120" s="6">
        <f t="shared" si="3"/>
        <v>624682.54099999997</v>
      </c>
    </row>
    <row r="121" spans="1:23" x14ac:dyDescent="0.3">
      <c r="A121" s="2" t="s">
        <v>21</v>
      </c>
      <c r="B121" s="2">
        <v>4.0419999999999998</v>
      </c>
      <c r="C121" s="2">
        <v>2000489833</v>
      </c>
      <c r="D121" s="2">
        <v>49.9</v>
      </c>
      <c r="E121" s="2"/>
      <c r="F121" s="2">
        <v>375</v>
      </c>
      <c r="G121" s="2">
        <v>675</v>
      </c>
      <c r="H121" s="2"/>
      <c r="I121" s="2"/>
      <c r="J121" s="3">
        <f>IF(A121="Upgrade",IF(OR(H121=4,H121=5),VLOOKUP(I121,'Renewal Rates'!$A$22:$B$27,2,FALSE),2.7%),IF(A121="Renewal",100%,0%))</f>
        <v>2.7000000000000003E-2</v>
      </c>
      <c r="K121" s="2" t="s">
        <v>22</v>
      </c>
      <c r="L121" s="2">
        <v>374</v>
      </c>
      <c r="M121" s="2" t="s">
        <v>23</v>
      </c>
      <c r="N121" s="2" t="s">
        <v>24</v>
      </c>
      <c r="O121" s="4">
        <v>210908</v>
      </c>
      <c r="P121" s="4">
        <v>4224</v>
      </c>
      <c r="Q121" s="4">
        <v>71709</v>
      </c>
      <c r="R121" s="4">
        <v>282616</v>
      </c>
      <c r="S121" s="5">
        <v>0.4</v>
      </c>
      <c r="T121" s="4">
        <v>113047</v>
      </c>
      <c r="U121" s="4">
        <v>395663</v>
      </c>
      <c r="V121" s="6">
        <f t="shared" si="2"/>
        <v>10682.901000000002</v>
      </c>
      <c r="W121" s="6">
        <f t="shared" si="3"/>
        <v>384980.09899999999</v>
      </c>
    </row>
    <row r="122" spans="1:23" x14ac:dyDescent="0.3">
      <c r="A122" s="2" t="s">
        <v>21</v>
      </c>
      <c r="B122" s="2">
        <v>4.0410000000000004</v>
      </c>
      <c r="C122" s="2">
        <v>2000106170</v>
      </c>
      <c r="D122" s="2">
        <v>24.8</v>
      </c>
      <c r="E122" s="2"/>
      <c r="F122" s="2">
        <v>225</v>
      </c>
      <c r="G122" s="2">
        <v>600</v>
      </c>
      <c r="H122" s="2"/>
      <c r="I122" s="2"/>
      <c r="J122" s="3">
        <f>IF(A122="Upgrade",IF(OR(H122=4,H122=5),VLOOKUP(I122,'Renewal Rates'!$A$22:$B$27,2,FALSE),2.7%),IF(A122="Renewal",100%,0%))</f>
        <v>2.7000000000000003E-2</v>
      </c>
      <c r="K122" s="2" t="s">
        <v>22</v>
      </c>
      <c r="L122" s="2">
        <v>374</v>
      </c>
      <c r="M122" s="2" t="s">
        <v>23</v>
      </c>
      <c r="N122" s="2" t="s">
        <v>24</v>
      </c>
      <c r="O122" s="4">
        <v>108022</v>
      </c>
      <c r="P122" s="4">
        <v>4349</v>
      </c>
      <c r="Q122" s="4">
        <v>36728</v>
      </c>
      <c r="R122" s="4">
        <v>144750</v>
      </c>
      <c r="S122" s="5">
        <v>0.4</v>
      </c>
      <c r="T122" s="4">
        <v>57900</v>
      </c>
      <c r="U122" s="4">
        <v>202650</v>
      </c>
      <c r="V122" s="6">
        <f t="shared" si="2"/>
        <v>5471.5500000000011</v>
      </c>
      <c r="W122" s="6">
        <f t="shared" si="3"/>
        <v>197178.45</v>
      </c>
    </row>
    <row r="123" spans="1:23" x14ac:dyDescent="0.3">
      <c r="A123" s="2" t="s">
        <v>21</v>
      </c>
      <c r="B123" s="2">
        <v>4.0410000000000004</v>
      </c>
      <c r="C123" s="2">
        <v>2000688857</v>
      </c>
      <c r="D123" s="2">
        <v>35.299999999999997</v>
      </c>
      <c r="E123" s="2"/>
      <c r="F123" s="2">
        <v>150</v>
      </c>
      <c r="G123" s="2">
        <v>600</v>
      </c>
      <c r="H123" s="2"/>
      <c r="I123" s="2"/>
      <c r="J123" s="3">
        <f>IF(A123="Upgrade",IF(OR(H123=4,H123=5),VLOOKUP(I123,'Renewal Rates'!$A$22:$B$27,2,FALSE),2.7%),IF(A123="Renewal",100%,0%))</f>
        <v>2.7000000000000003E-2</v>
      </c>
      <c r="K123" s="2" t="s">
        <v>22</v>
      </c>
      <c r="L123" s="2">
        <v>374</v>
      </c>
      <c r="M123" s="2" t="s">
        <v>23</v>
      </c>
      <c r="N123" s="2" t="s">
        <v>24</v>
      </c>
      <c r="O123" s="4">
        <v>138284</v>
      </c>
      <c r="P123" s="4">
        <v>3917</v>
      </c>
      <c r="Q123" s="4">
        <v>47016</v>
      </c>
      <c r="R123" s="4">
        <v>185300</v>
      </c>
      <c r="S123" s="5">
        <v>0.4</v>
      </c>
      <c r="T123" s="4">
        <v>74120</v>
      </c>
      <c r="U123" s="4">
        <v>259420</v>
      </c>
      <c r="V123" s="6">
        <f t="shared" si="2"/>
        <v>7004.3400000000011</v>
      </c>
      <c r="W123" s="6">
        <f t="shared" si="3"/>
        <v>252415.66</v>
      </c>
    </row>
    <row r="124" spans="1:23" x14ac:dyDescent="0.3">
      <c r="A124" s="2" t="s">
        <v>21</v>
      </c>
      <c r="B124" s="2">
        <v>4.0410000000000004</v>
      </c>
      <c r="C124" s="2">
        <v>3000135974</v>
      </c>
      <c r="D124" s="2">
        <v>31</v>
      </c>
      <c r="E124" s="2"/>
      <c r="F124" s="2">
        <v>160</v>
      </c>
      <c r="G124" s="2">
        <v>600</v>
      </c>
      <c r="H124" s="2"/>
      <c r="I124" s="2"/>
      <c r="J124" s="3">
        <f>IF(A124="Upgrade",IF(OR(H124=4,H124=5),VLOOKUP(I124,'Renewal Rates'!$A$22:$B$27,2,FALSE),2.7%),IF(A124="Renewal",100%,0%))</f>
        <v>2.7000000000000003E-2</v>
      </c>
      <c r="K124" s="2" t="s">
        <v>22</v>
      </c>
      <c r="L124" s="2">
        <v>374</v>
      </c>
      <c r="M124" s="2" t="s">
        <v>23</v>
      </c>
      <c r="N124" s="2" t="s">
        <v>24</v>
      </c>
      <c r="O124" s="4">
        <v>114406</v>
      </c>
      <c r="P124" s="4">
        <v>3689</v>
      </c>
      <c r="Q124" s="4">
        <v>38898</v>
      </c>
      <c r="R124" s="4">
        <v>153303</v>
      </c>
      <c r="S124" s="5">
        <v>0.4</v>
      </c>
      <c r="T124" s="4">
        <v>61321</v>
      </c>
      <c r="U124" s="4">
        <v>214625</v>
      </c>
      <c r="V124" s="6">
        <f t="shared" si="2"/>
        <v>5794.8750000000009</v>
      </c>
      <c r="W124" s="6">
        <f t="shared" si="3"/>
        <v>208830.125</v>
      </c>
    </row>
    <row r="125" spans="1:23" x14ac:dyDescent="0.3">
      <c r="A125" s="2" t="s">
        <v>21</v>
      </c>
      <c r="B125" s="2">
        <v>4.04</v>
      </c>
      <c r="C125" s="2">
        <v>2000236750</v>
      </c>
      <c r="D125" s="2">
        <v>27</v>
      </c>
      <c r="E125" s="2"/>
      <c r="F125" s="2">
        <v>300</v>
      </c>
      <c r="G125" s="2">
        <v>525</v>
      </c>
      <c r="H125" s="2"/>
      <c r="I125" s="2"/>
      <c r="J125" s="3">
        <f>IF(A125="Upgrade",IF(OR(H125=4,H125=5),VLOOKUP(I125,'Renewal Rates'!$A$22:$B$27,2,FALSE),2.7%),IF(A125="Renewal",100%,0%))</f>
        <v>2.7000000000000003E-2</v>
      </c>
      <c r="K125" s="2" t="s">
        <v>22</v>
      </c>
      <c r="L125" s="2">
        <v>374</v>
      </c>
      <c r="M125" s="2" t="s">
        <v>23</v>
      </c>
      <c r="N125" s="2" t="s">
        <v>24</v>
      </c>
      <c r="O125" s="4">
        <v>106392</v>
      </c>
      <c r="P125" s="4">
        <v>3937</v>
      </c>
      <c r="Q125" s="4">
        <v>36173</v>
      </c>
      <c r="R125" s="4">
        <v>142565</v>
      </c>
      <c r="S125" s="5">
        <v>0.4</v>
      </c>
      <c r="T125" s="4">
        <v>57026</v>
      </c>
      <c r="U125" s="4">
        <v>199591</v>
      </c>
      <c r="V125" s="6">
        <f t="shared" si="2"/>
        <v>5388.9570000000003</v>
      </c>
      <c r="W125" s="6">
        <f t="shared" si="3"/>
        <v>194202.04300000001</v>
      </c>
    </row>
    <row r="126" spans="1:23" x14ac:dyDescent="0.3">
      <c r="A126" s="2" t="s">
        <v>21</v>
      </c>
      <c r="B126" s="2">
        <v>4.04</v>
      </c>
      <c r="C126" s="2">
        <v>2000060906</v>
      </c>
      <c r="D126" s="2">
        <v>35.299999999999997</v>
      </c>
      <c r="E126" s="2"/>
      <c r="F126" s="2">
        <v>300</v>
      </c>
      <c r="G126" s="2">
        <v>525</v>
      </c>
      <c r="H126" s="2"/>
      <c r="I126" s="2"/>
      <c r="J126" s="3">
        <f>IF(A126="Upgrade",IF(OR(H126=4,H126=5),VLOOKUP(I126,'Renewal Rates'!$A$22:$B$27,2,FALSE),2.7%),IF(A126="Renewal",100%,0%))</f>
        <v>2.7000000000000003E-2</v>
      </c>
      <c r="K126" s="2" t="s">
        <v>22</v>
      </c>
      <c r="L126" s="2">
        <v>374</v>
      </c>
      <c r="M126" s="2" t="s">
        <v>23</v>
      </c>
      <c r="N126" s="2" t="s">
        <v>24</v>
      </c>
      <c r="O126" s="4">
        <v>113637</v>
      </c>
      <c r="P126" s="4">
        <v>3217</v>
      </c>
      <c r="Q126" s="4">
        <v>38637</v>
      </c>
      <c r="R126" s="4">
        <v>152274</v>
      </c>
      <c r="S126" s="5">
        <v>0.4</v>
      </c>
      <c r="T126" s="4">
        <v>60909</v>
      </c>
      <c r="U126" s="4">
        <v>213183</v>
      </c>
      <c r="V126" s="6">
        <f t="shared" si="2"/>
        <v>5755.9410000000007</v>
      </c>
      <c r="W126" s="6">
        <f t="shared" si="3"/>
        <v>207427.05900000001</v>
      </c>
    </row>
    <row r="127" spans="1:23" x14ac:dyDescent="0.3">
      <c r="A127" s="2" t="s">
        <v>21</v>
      </c>
      <c r="B127" s="2">
        <v>4.0389999999999997</v>
      </c>
      <c r="C127" s="2">
        <v>2000003926</v>
      </c>
      <c r="D127" s="2">
        <v>43.2</v>
      </c>
      <c r="E127" s="2"/>
      <c r="F127" s="2">
        <v>225</v>
      </c>
      <c r="G127" s="2">
        <v>450</v>
      </c>
      <c r="H127" s="2"/>
      <c r="I127" s="2"/>
      <c r="J127" s="3">
        <f>IF(A127="Upgrade",IF(OR(H127=4,H127=5),VLOOKUP(I127,'Renewal Rates'!$A$22:$B$27,2,FALSE),2.7%),IF(A127="Renewal",100%,0%))</f>
        <v>2.7000000000000003E-2</v>
      </c>
      <c r="K127" s="2" t="s">
        <v>22</v>
      </c>
      <c r="L127" s="2">
        <v>374</v>
      </c>
      <c r="M127" s="2" t="s">
        <v>23</v>
      </c>
      <c r="N127" s="2" t="s">
        <v>24</v>
      </c>
      <c r="O127" s="4">
        <v>114039</v>
      </c>
      <c r="P127" s="4">
        <v>2641</v>
      </c>
      <c r="Q127" s="4">
        <v>38773</v>
      </c>
      <c r="R127" s="4">
        <v>152812</v>
      </c>
      <c r="S127" s="5">
        <v>0.4</v>
      </c>
      <c r="T127" s="4">
        <v>61125</v>
      </c>
      <c r="U127" s="4">
        <v>213937</v>
      </c>
      <c r="V127" s="6">
        <f t="shared" si="2"/>
        <v>5776.2990000000009</v>
      </c>
      <c r="W127" s="6">
        <f t="shared" si="3"/>
        <v>208160.701</v>
      </c>
    </row>
    <row r="128" spans="1:23" x14ac:dyDescent="0.3">
      <c r="A128" s="2" t="s">
        <v>21</v>
      </c>
      <c r="B128" s="2">
        <v>4.0389999999999997</v>
      </c>
      <c r="C128" s="2">
        <v>2000582737</v>
      </c>
      <c r="D128" s="2">
        <v>63.7</v>
      </c>
      <c r="E128" s="2"/>
      <c r="F128" s="2">
        <v>225</v>
      </c>
      <c r="G128" s="2">
        <v>450</v>
      </c>
      <c r="H128" s="2"/>
      <c r="I128" s="2"/>
      <c r="J128" s="3">
        <f>IF(A128="Upgrade",IF(OR(H128=4,H128=5),VLOOKUP(I128,'Renewal Rates'!$A$22:$B$27,2,FALSE),2.7%),IF(A128="Renewal",100%,0%))</f>
        <v>2.7000000000000003E-2</v>
      </c>
      <c r="K128" s="2" t="s">
        <v>22</v>
      </c>
      <c r="L128" s="2">
        <v>374</v>
      </c>
      <c r="M128" s="2" t="s">
        <v>23</v>
      </c>
      <c r="N128" s="2" t="s">
        <v>24</v>
      </c>
      <c r="O128" s="4">
        <v>186911</v>
      </c>
      <c r="P128" s="4">
        <v>2932</v>
      </c>
      <c r="Q128" s="4">
        <v>63550</v>
      </c>
      <c r="R128" s="4">
        <v>250461</v>
      </c>
      <c r="S128" s="5">
        <v>0.4</v>
      </c>
      <c r="T128" s="4">
        <v>100185</v>
      </c>
      <c r="U128" s="4">
        <v>350646</v>
      </c>
      <c r="V128" s="6">
        <f t="shared" si="2"/>
        <v>9467.4420000000009</v>
      </c>
      <c r="W128" s="6">
        <f t="shared" si="3"/>
        <v>341178.55800000002</v>
      </c>
    </row>
    <row r="129" spans="1:23" x14ac:dyDescent="0.3">
      <c r="A129" s="2" t="s">
        <v>21</v>
      </c>
      <c r="B129" s="2">
        <v>4.0389999999999997</v>
      </c>
      <c r="C129" s="2">
        <v>2000608321</v>
      </c>
      <c r="D129" s="2">
        <v>23.3</v>
      </c>
      <c r="E129" s="2"/>
      <c r="F129" s="2">
        <v>225</v>
      </c>
      <c r="G129" s="2">
        <v>450</v>
      </c>
      <c r="H129" s="2"/>
      <c r="I129" s="2"/>
      <c r="J129" s="3">
        <f>IF(A129="Upgrade",IF(OR(H129=4,H129=5),VLOOKUP(I129,'Renewal Rates'!$A$22:$B$27,2,FALSE),2.7%),IF(A129="Renewal",100%,0%))</f>
        <v>2.7000000000000003E-2</v>
      </c>
      <c r="K129" s="2" t="s">
        <v>22</v>
      </c>
      <c r="L129" s="2">
        <v>374</v>
      </c>
      <c r="M129" s="2" t="s">
        <v>23</v>
      </c>
      <c r="N129" s="2" t="s">
        <v>24</v>
      </c>
      <c r="O129" s="4">
        <v>80452</v>
      </c>
      <c r="P129" s="4">
        <v>3450</v>
      </c>
      <c r="Q129" s="4">
        <v>27354</v>
      </c>
      <c r="R129" s="4">
        <v>107805</v>
      </c>
      <c r="S129" s="5">
        <v>0.4</v>
      </c>
      <c r="T129" s="4">
        <v>43122</v>
      </c>
      <c r="U129" s="4">
        <v>150927</v>
      </c>
      <c r="V129" s="6">
        <f t="shared" si="2"/>
        <v>4075.0290000000005</v>
      </c>
      <c r="W129" s="6">
        <f t="shared" si="3"/>
        <v>146851.97099999999</v>
      </c>
    </row>
    <row r="130" spans="1:23" x14ac:dyDescent="0.3">
      <c r="A130" s="2" t="s">
        <v>21</v>
      </c>
      <c r="B130" s="2">
        <v>4.0149999999999997</v>
      </c>
      <c r="C130" s="2">
        <v>2000334041</v>
      </c>
      <c r="D130" s="2">
        <v>66.2</v>
      </c>
      <c r="E130" s="2"/>
      <c r="F130" s="2">
        <v>525</v>
      </c>
      <c r="G130" s="2">
        <v>825</v>
      </c>
      <c r="H130" s="2">
        <v>5</v>
      </c>
      <c r="I130" s="2">
        <v>3</v>
      </c>
      <c r="J130" s="3">
        <f>IF(A130="Upgrade",IF(OR(H130=4,H130=5),VLOOKUP(I130,'Renewal Rates'!$A$22:$B$27,2,FALSE),2.7%),IF(A130="Renewal",100%,0%))</f>
        <v>0.21</v>
      </c>
      <c r="K130" s="2" t="s">
        <v>22</v>
      </c>
      <c r="L130" s="2">
        <v>374</v>
      </c>
      <c r="M130" s="2" t="s">
        <v>23</v>
      </c>
      <c r="N130" s="2" t="s">
        <v>24</v>
      </c>
      <c r="O130" s="4">
        <v>333422</v>
      </c>
      <c r="P130" s="4">
        <v>5038</v>
      </c>
      <c r="Q130" s="4">
        <v>113364</v>
      </c>
      <c r="R130" s="4">
        <v>446786</v>
      </c>
      <c r="S130" s="5">
        <v>0.4</v>
      </c>
      <c r="T130" s="4">
        <v>178714</v>
      </c>
      <c r="U130" s="4">
        <v>625500</v>
      </c>
      <c r="V130" s="6">
        <f t="shared" si="2"/>
        <v>131355</v>
      </c>
      <c r="W130" s="6">
        <f t="shared" si="3"/>
        <v>494145</v>
      </c>
    </row>
    <row r="131" spans="1:23" x14ac:dyDescent="0.3">
      <c r="A131" s="2" t="s">
        <v>21</v>
      </c>
      <c r="B131" s="2">
        <v>4.0149999999999997</v>
      </c>
      <c r="C131" s="2">
        <v>2000809140</v>
      </c>
      <c r="D131" s="2">
        <v>39.6</v>
      </c>
      <c r="E131" s="2"/>
      <c r="F131" s="2">
        <v>375</v>
      </c>
      <c r="G131" s="2">
        <v>825</v>
      </c>
      <c r="H131" s="2"/>
      <c r="I131" s="2"/>
      <c r="J131" s="3">
        <f>IF(A131="Upgrade",IF(OR(H131=4,H131=5),VLOOKUP(I131,'Renewal Rates'!$A$22:$B$27,2,FALSE),2.7%),IF(A131="Renewal",100%,0%))</f>
        <v>2.7000000000000003E-2</v>
      </c>
      <c r="K131" s="2" t="s">
        <v>22</v>
      </c>
      <c r="L131" s="2">
        <v>374</v>
      </c>
      <c r="M131" s="2" t="s">
        <v>23</v>
      </c>
      <c r="N131" s="2" t="s">
        <v>24</v>
      </c>
      <c r="O131" s="4">
        <v>187244</v>
      </c>
      <c r="P131" s="4">
        <v>4723</v>
      </c>
      <c r="Q131" s="4">
        <v>63663</v>
      </c>
      <c r="R131" s="4">
        <v>250908</v>
      </c>
      <c r="S131" s="5">
        <v>0.4</v>
      </c>
      <c r="T131" s="4">
        <v>100363</v>
      </c>
      <c r="U131" s="4">
        <v>351271</v>
      </c>
      <c r="V131" s="6">
        <f t="shared" ref="V131:V194" si="4">J131*U131</f>
        <v>9484.3170000000009</v>
      </c>
      <c r="W131" s="6">
        <f t="shared" ref="W131:W194" si="5">U131-V131</f>
        <v>341786.68300000002</v>
      </c>
    </row>
    <row r="132" spans="1:23" x14ac:dyDescent="0.3">
      <c r="A132" s="2" t="s">
        <v>21</v>
      </c>
      <c r="B132" s="2">
        <v>4.0149999999999997</v>
      </c>
      <c r="C132" s="2">
        <v>2000274925</v>
      </c>
      <c r="D132" s="2">
        <v>76.8</v>
      </c>
      <c r="E132" s="2"/>
      <c r="F132" s="2">
        <v>375</v>
      </c>
      <c r="G132" s="2">
        <v>825</v>
      </c>
      <c r="H132" s="2"/>
      <c r="I132" s="2"/>
      <c r="J132" s="3">
        <f>IF(A132="Upgrade",IF(OR(H132=4,H132=5),VLOOKUP(I132,'Renewal Rates'!$A$22:$B$27,2,FALSE),2.7%),IF(A132="Renewal",100%,0%))</f>
        <v>2.7000000000000003E-2</v>
      </c>
      <c r="K132" s="2" t="s">
        <v>22</v>
      </c>
      <c r="L132" s="2">
        <v>374</v>
      </c>
      <c r="M132" s="2" t="s">
        <v>23</v>
      </c>
      <c r="N132" s="2" t="s">
        <v>24</v>
      </c>
      <c r="O132" s="4">
        <v>345619</v>
      </c>
      <c r="P132" s="4">
        <v>4501</v>
      </c>
      <c r="Q132" s="4">
        <v>117510</v>
      </c>
      <c r="R132" s="4">
        <v>463129</v>
      </c>
      <c r="S132" s="5">
        <v>0.4</v>
      </c>
      <c r="T132" s="4">
        <v>185252</v>
      </c>
      <c r="U132" s="4">
        <v>648381</v>
      </c>
      <c r="V132" s="6">
        <f t="shared" si="4"/>
        <v>17506.287</v>
      </c>
      <c r="W132" s="6">
        <f t="shared" si="5"/>
        <v>630874.71299999999</v>
      </c>
    </row>
    <row r="133" spans="1:23" x14ac:dyDescent="0.3">
      <c r="A133" s="2" t="s">
        <v>21</v>
      </c>
      <c r="B133" s="2">
        <v>4.0140000000000002</v>
      </c>
      <c r="C133" s="2">
        <v>2000085912</v>
      </c>
      <c r="D133" s="2">
        <v>59.7</v>
      </c>
      <c r="E133" s="2"/>
      <c r="F133" s="2">
        <v>225</v>
      </c>
      <c r="G133" s="2">
        <v>600</v>
      </c>
      <c r="H133" s="2"/>
      <c r="I133" s="2"/>
      <c r="J133" s="3">
        <f>IF(A133="Upgrade",IF(OR(H133=4,H133=5),VLOOKUP(I133,'Renewal Rates'!$A$22:$B$27,2,FALSE),2.7%),IF(A133="Renewal",100%,0%))</f>
        <v>2.7000000000000003E-2</v>
      </c>
      <c r="K133" s="2" t="s">
        <v>22</v>
      </c>
      <c r="L133" s="2">
        <v>374</v>
      </c>
      <c r="M133" s="2" t="s">
        <v>23</v>
      </c>
      <c r="N133" s="2" t="s">
        <v>24</v>
      </c>
      <c r="O133" s="4">
        <v>220784</v>
      </c>
      <c r="P133" s="4">
        <v>3699</v>
      </c>
      <c r="Q133" s="4">
        <v>75067</v>
      </c>
      <c r="R133" s="4">
        <v>295851</v>
      </c>
      <c r="S133" s="5">
        <v>0.4</v>
      </c>
      <c r="T133" s="4">
        <v>118340</v>
      </c>
      <c r="U133" s="4">
        <v>414191</v>
      </c>
      <c r="V133" s="6">
        <f t="shared" si="4"/>
        <v>11183.157000000001</v>
      </c>
      <c r="W133" s="6">
        <f t="shared" si="5"/>
        <v>403007.84299999999</v>
      </c>
    </row>
    <row r="134" spans="1:23" x14ac:dyDescent="0.3">
      <c r="A134" s="2" t="s">
        <v>21</v>
      </c>
      <c r="B134" s="2">
        <v>4.0140000000000002</v>
      </c>
      <c r="C134" s="2">
        <v>2000386763</v>
      </c>
      <c r="D134" s="2">
        <v>63.5</v>
      </c>
      <c r="E134" s="2"/>
      <c r="F134" s="2">
        <v>225</v>
      </c>
      <c r="G134" s="2">
        <v>600</v>
      </c>
      <c r="H134" s="2"/>
      <c r="I134" s="2"/>
      <c r="J134" s="3">
        <f>IF(A134="Upgrade",IF(OR(H134=4,H134=5),VLOOKUP(I134,'Renewal Rates'!$A$22:$B$27,2,FALSE),2.7%),IF(A134="Renewal",100%,0%))</f>
        <v>2.7000000000000003E-2</v>
      </c>
      <c r="K134" s="2" t="s">
        <v>22</v>
      </c>
      <c r="L134" s="2">
        <v>374</v>
      </c>
      <c r="M134" s="2" t="s">
        <v>23</v>
      </c>
      <c r="N134" s="2" t="s">
        <v>24</v>
      </c>
      <c r="O134" s="4">
        <v>224773</v>
      </c>
      <c r="P134" s="4">
        <v>3537</v>
      </c>
      <c r="Q134" s="4">
        <v>76423</v>
      </c>
      <c r="R134" s="4">
        <v>301196</v>
      </c>
      <c r="S134" s="5">
        <v>0.4</v>
      </c>
      <c r="T134" s="4">
        <v>120478</v>
      </c>
      <c r="U134" s="4">
        <v>421674</v>
      </c>
      <c r="V134" s="6">
        <f t="shared" si="4"/>
        <v>11385.198000000002</v>
      </c>
      <c r="W134" s="6">
        <f t="shared" si="5"/>
        <v>410288.80200000003</v>
      </c>
    </row>
    <row r="135" spans="1:23" x14ac:dyDescent="0.3">
      <c r="A135" s="2" t="s">
        <v>21</v>
      </c>
      <c r="B135" s="2">
        <v>4.0140000000000002</v>
      </c>
      <c r="C135" s="2">
        <v>2000407261</v>
      </c>
      <c r="D135" s="2">
        <v>82</v>
      </c>
      <c r="E135" s="2"/>
      <c r="F135" s="2">
        <v>225</v>
      </c>
      <c r="G135" s="2">
        <v>600</v>
      </c>
      <c r="H135" s="2"/>
      <c r="I135" s="2"/>
      <c r="J135" s="3">
        <f>IF(A135="Upgrade",IF(OR(H135=4,H135=5),VLOOKUP(I135,'Renewal Rates'!$A$22:$B$27,2,FALSE),2.7%),IF(A135="Renewal",100%,0%))</f>
        <v>2.7000000000000003E-2</v>
      </c>
      <c r="K135" s="2" t="s">
        <v>22</v>
      </c>
      <c r="L135" s="2">
        <v>374</v>
      </c>
      <c r="M135" s="2" t="s">
        <v>23</v>
      </c>
      <c r="N135" s="2" t="s">
        <v>24</v>
      </c>
      <c r="O135" s="4">
        <v>282699</v>
      </c>
      <c r="P135" s="4">
        <v>3449</v>
      </c>
      <c r="Q135" s="4">
        <v>96118</v>
      </c>
      <c r="R135" s="4">
        <v>378817</v>
      </c>
      <c r="S135" s="5">
        <v>0.4</v>
      </c>
      <c r="T135" s="4">
        <v>151527</v>
      </c>
      <c r="U135" s="4">
        <v>530344</v>
      </c>
      <c r="V135" s="6">
        <f t="shared" si="4"/>
        <v>14319.288000000002</v>
      </c>
      <c r="W135" s="6">
        <f t="shared" si="5"/>
        <v>516024.712</v>
      </c>
    </row>
    <row r="136" spans="1:23" x14ac:dyDescent="0.3">
      <c r="A136" s="2" t="s">
        <v>21</v>
      </c>
      <c r="B136" s="2">
        <v>4.0129999999999999</v>
      </c>
      <c r="C136" s="2">
        <v>2000697423</v>
      </c>
      <c r="D136" s="2">
        <v>25.7</v>
      </c>
      <c r="E136" s="2"/>
      <c r="F136" s="2">
        <v>675</v>
      </c>
      <c r="G136" s="2">
        <v>1050</v>
      </c>
      <c r="H136" s="2">
        <v>5</v>
      </c>
      <c r="I136" s="2">
        <v>3</v>
      </c>
      <c r="J136" s="3">
        <f>IF(A136="Upgrade",IF(OR(H136=4,H136=5),VLOOKUP(I136,'Renewal Rates'!$A$22:$B$27,2,FALSE),2.7%),IF(A136="Renewal",100%,0%))</f>
        <v>0.21</v>
      </c>
      <c r="K136" s="2" t="s">
        <v>22</v>
      </c>
      <c r="L136" s="2">
        <v>374</v>
      </c>
      <c r="M136" s="2" t="s">
        <v>23</v>
      </c>
      <c r="N136" s="2" t="s">
        <v>24</v>
      </c>
      <c r="O136" s="4">
        <v>225604</v>
      </c>
      <c r="P136" s="4">
        <v>8773</v>
      </c>
      <c r="Q136" s="4">
        <v>76705</v>
      </c>
      <c r="R136" s="4">
        <v>302309</v>
      </c>
      <c r="S136" s="5">
        <v>0.4</v>
      </c>
      <c r="T136" s="4">
        <v>120924</v>
      </c>
      <c r="U136" s="4">
        <v>423233</v>
      </c>
      <c r="V136" s="6">
        <f t="shared" si="4"/>
        <v>88878.93</v>
      </c>
      <c r="W136" s="6">
        <f t="shared" si="5"/>
        <v>334354.07</v>
      </c>
    </row>
    <row r="137" spans="1:23" x14ac:dyDescent="0.3">
      <c r="A137" s="2" t="s">
        <v>21</v>
      </c>
      <c r="B137" s="2">
        <v>4.0129999999999999</v>
      </c>
      <c r="C137" s="2">
        <v>2000237110</v>
      </c>
      <c r="D137" s="2">
        <v>52.4</v>
      </c>
      <c r="E137" s="2"/>
      <c r="F137" s="2">
        <v>600</v>
      </c>
      <c r="G137" s="2">
        <v>1050</v>
      </c>
      <c r="H137" s="2">
        <v>5</v>
      </c>
      <c r="I137" s="2">
        <v>3</v>
      </c>
      <c r="J137" s="3">
        <f>IF(A137="Upgrade",IF(OR(H137=4,H137=5),VLOOKUP(I137,'Renewal Rates'!$A$22:$B$27,2,FALSE),2.7%),IF(A137="Renewal",100%,0%))</f>
        <v>0.21</v>
      </c>
      <c r="K137" s="2" t="s">
        <v>22</v>
      </c>
      <c r="L137" s="2">
        <v>374</v>
      </c>
      <c r="M137" s="2" t="s">
        <v>23</v>
      </c>
      <c r="N137" s="2" t="s">
        <v>24</v>
      </c>
      <c r="O137" s="4">
        <v>369491</v>
      </c>
      <c r="P137" s="4">
        <v>7056</v>
      </c>
      <c r="Q137" s="4">
        <v>125627</v>
      </c>
      <c r="R137" s="4">
        <v>495118</v>
      </c>
      <c r="S137" s="5">
        <v>0.4</v>
      </c>
      <c r="T137" s="4">
        <v>198047</v>
      </c>
      <c r="U137" s="4">
        <v>693165</v>
      </c>
      <c r="V137" s="6">
        <f t="shared" si="4"/>
        <v>145564.65</v>
      </c>
      <c r="W137" s="6">
        <f t="shared" si="5"/>
        <v>547600.35</v>
      </c>
    </row>
    <row r="138" spans="1:23" x14ac:dyDescent="0.3">
      <c r="A138" s="2" t="s">
        <v>21</v>
      </c>
      <c r="B138" s="2">
        <v>4.0119999999999996</v>
      </c>
      <c r="C138" s="2">
        <v>2000623816</v>
      </c>
      <c r="D138" s="2">
        <v>71.5</v>
      </c>
      <c r="E138" s="2"/>
      <c r="F138" s="2">
        <v>600</v>
      </c>
      <c r="G138" s="2">
        <v>1050</v>
      </c>
      <c r="H138" s="2"/>
      <c r="I138" s="2"/>
      <c r="J138" s="3">
        <f>IF(A138="Upgrade",IF(OR(H138=4,H138=5),VLOOKUP(I138,'Renewal Rates'!$A$22:$B$27,2,FALSE),2.7%),IF(A138="Renewal",100%,0%))</f>
        <v>2.7000000000000003E-2</v>
      </c>
      <c r="K138" s="2" t="s">
        <v>22</v>
      </c>
      <c r="L138" s="2">
        <v>374</v>
      </c>
      <c r="M138" s="2" t="s">
        <v>23</v>
      </c>
      <c r="N138" s="2" t="s">
        <v>24</v>
      </c>
      <c r="O138" s="4">
        <v>476335</v>
      </c>
      <c r="P138" s="4">
        <v>6658</v>
      </c>
      <c r="Q138" s="4">
        <v>161954</v>
      </c>
      <c r="R138" s="4">
        <v>638289</v>
      </c>
      <c r="S138" s="5">
        <v>0.4</v>
      </c>
      <c r="T138" s="4">
        <v>255316</v>
      </c>
      <c r="U138" s="4">
        <v>893604</v>
      </c>
      <c r="V138" s="6">
        <f t="shared" si="4"/>
        <v>24127.308000000005</v>
      </c>
      <c r="W138" s="6">
        <f t="shared" si="5"/>
        <v>869476.69200000004</v>
      </c>
    </row>
    <row r="139" spans="1:23" x14ac:dyDescent="0.3">
      <c r="A139" s="2" t="s">
        <v>21</v>
      </c>
      <c r="B139" s="2">
        <v>4.0110000000000001</v>
      </c>
      <c r="C139" s="2">
        <v>2000135331</v>
      </c>
      <c r="D139" s="2">
        <v>59.4</v>
      </c>
      <c r="E139" s="2"/>
      <c r="F139" s="2">
        <v>600</v>
      </c>
      <c r="G139" s="2">
        <v>1050</v>
      </c>
      <c r="H139" s="2"/>
      <c r="I139" s="2"/>
      <c r="J139" s="3">
        <f>IF(A139="Upgrade",IF(OR(H139=4,H139=5),VLOOKUP(I139,'Renewal Rates'!$A$22:$B$27,2,FALSE),2.7%),IF(A139="Renewal",100%,0%))</f>
        <v>2.7000000000000003E-2</v>
      </c>
      <c r="K139" s="2" t="s">
        <v>22</v>
      </c>
      <c r="L139" s="2">
        <v>374</v>
      </c>
      <c r="M139" s="2" t="s">
        <v>23</v>
      </c>
      <c r="N139" s="2" t="s">
        <v>24</v>
      </c>
      <c r="O139" s="4">
        <v>406370</v>
      </c>
      <c r="P139" s="4">
        <v>6843</v>
      </c>
      <c r="Q139" s="4">
        <v>138166</v>
      </c>
      <c r="R139" s="4">
        <v>544536</v>
      </c>
      <c r="S139" s="5">
        <v>0.4</v>
      </c>
      <c r="T139" s="4">
        <v>217814</v>
      </c>
      <c r="U139" s="4">
        <v>762350</v>
      </c>
      <c r="V139" s="6">
        <f t="shared" si="4"/>
        <v>20583.45</v>
      </c>
      <c r="W139" s="6">
        <f t="shared" si="5"/>
        <v>741766.55</v>
      </c>
    </row>
    <row r="140" spans="1:23" x14ac:dyDescent="0.3">
      <c r="A140" s="2" t="s">
        <v>21</v>
      </c>
      <c r="B140" s="2">
        <v>4.0110000000000001</v>
      </c>
      <c r="C140" s="2">
        <v>2000648748</v>
      </c>
      <c r="D140" s="2">
        <v>80.400000000000006</v>
      </c>
      <c r="E140" s="2"/>
      <c r="F140" s="2">
        <v>525</v>
      </c>
      <c r="G140" s="2">
        <v>1050</v>
      </c>
      <c r="H140" s="2"/>
      <c r="I140" s="2"/>
      <c r="J140" s="3">
        <f>IF(A140="Upgrade",IF(OR(H140=4,H140=5),VLOOKUP(I140,'Renewal Rates'!$A$22:$B$27,2,FALSE),2.7%),IF(A140="Renewal",100%,0%))</f>
        <v>2.7000000000000003E-2</v>
      </c>
      <c r="K140" s="2" t="s">
        <v>22</v>
      </c>
      <c r="L140" s="2">
        <v>374</v>
      </c>
      <c r="M140" s="2" t="s">
        <v>23</v>
      </c>
      <c r="N140" s="2" t="s">
        <v>24</v>
      </c>
      <c r="O140" s="4">
        <v>516865</v>
      </c>
      <c r="P140" s="4">
        <v>6432</v>
      </c>
      <c r="Q140" s="4">
        <v>175734</v>
      </c>
      <c r="R140" s="4">
        <v>692600</v>
      </c>
      <c r="S140" s="5">
        <v>0.4</v>
      </c>
      <c r="T140" s="4">
        <v>277040</v>
      </c>
      <c r="U140" s="4">
        <v>969639</v>
      </c>
      <c r="V140" s="6">
        <f t="shared" si="4"/>
        <v>26180.253000000004</v>
      </c>
      <c r="W140" s="6">
        <f t="shared" si="5"/>
        <v>943458.74699999997</v>
      </c>
    </row>
    <row r="141" spans="1:23" x14ac:dyDescent="0.3">
      <c r="A141" s="2" t="s">
        <v>21</v>
      </c>
      <c r="B141" s="2">
        <v>4.01</v>
      </c>
      <c r="C141" s="2">
        <v>2000595494</v>
      </c>
      <c r="D141" s="2">
        <v>79.400000000000006</v>
      </c>
      <c r="E141" s="2"/>
      <c r="F141" s="2">
        <v>525</v>
      </c>
      <c r="G141" s="2">
        <v>900</v>
      </c>
      <c r="H141" s="2"/>
      <c r="I141" s="2"/>
      <c r="J141" s="3">
        <f>IF(A141="Upgrade",IF(OR(H141=4,H141=5),VLOOKUP(I141,'Renewal Rates'!$A$22:$B$27,2,FALSE),2.7%),IF(A141="Renewal",100%,0%))</f>
        <v>2.7000000000000003E-2</v>
      </c>
      <c r="K141" s="2" t="s">
        <v>22</v>
      </c>
      <c r="L141" s="2">
        <v>374</v>
      </c>
      <c r="M141" s="2" t="s">
        <v>23</v>
      </c>
      <c r="N141" s="2" t="s">
        <v>24</v>
      </c>
      <c r="O141" s="4">
        <v>436412</v>
      </c>
      <c r="P141" s="4">
        <v>5496</v>
      </c>
      <c r="Q141" s="4">
        <v>148380</v>
      </c>
      <c r="R141" s="4">
        <v>584792</v>
      </c>
      <c r="S141" s="5">
        <v>0.4</v>
      </c>
      <c r="T141" s="4">
        <v>233917</v>
      </c>
      <c r="U141" s="4">
        <v>818709</v>
      </c>
      <c r="V141" s="6">
        <f t="shared" si="4"/>
        <v>22105.143000000004</v>
      </c>
      <c r="W141" s="6">
        <f t="shared" si="5"/>
        <v>796603.85699999996</v>
      </c>
    </row>
    <row r="142" spans="1:23" x14ac:dyDescent="0.3">
      <c r="A142" s="2" t="s">
        <v>21</v>
      </c>
      <c r="B142" s="2">
        <v>4.0090000000000003</v>
      </c>
      <c r="C142" s="2">
        <v>2000660354</v>
      </c>
      <c r="D142" s="2">
        <v>51.4</v>
      </c>
      <c r="E142" s="2"/>
      <c r="F142" s="2">
        <v>225</v>
      </c>
      <c r="G142" s="2">
        <v>450</v>
      </c>
      <c r="H142" s="2"/>
      <c r="I142" s="2"/>
      <c r="J142" s="3">
        <f>IF(A142="Upgrade",IF(OR(H142=4,H142=5),VLOOKUP(I142,'Renewal Rates'!$A$22:$B$27,2,FALSE),2.7%),IF(A142="Renewal",100%,0%))</f>
        <v>2.7000000000000003E-2</v>
      </c>
      <c r="K142" s="2" t="s">
        <v>22</v>
      </c>
      <c r="L142" s="2">
        <v>374</v>
      </c>
      <c r="M142" s="2" t="s">
        <v>23</v>
      </c>
      <c r="N142" s="2" t="s">
        <v>24</v>
      </c>
      <c r="O142" s="4">
        <v>158652</v>
      </c>
      <c r="P142" s="4">
        <v>3089</v>
      </c>
      <c r="Q142" s="4">
        <v>53942</v>
      </c>
      <c r="R142" s="4">
        <v>212594</v>
      </c>
      <c r="S142" s="5">
        <v>0.4</v>
      </c>
      <c r="T142" s="4">
        <v>85037</v>
      </c>
      <c r="U142" s="4">
        <v>297631</v>
      </c>
      <c r="V142" s="6">
        <f t="shared" si="4"/>
        <v>8036.0370000000012</v>
      </c>
      <c r="W142" s="6">
        <f t="shared" si="5"/>
        <v>289594.96299999999</v>
      </c>
    </row>
    <row r="143" spans="1:23" x14ac:dyDescent="0.3">
      <c r="A143" s="2" t="s">
        <v>21</v>
      </c>
      <c r="B143" s="2">
        <v>4.0090000000000003</v>
      </c>
      <c r="C143" s="2">
        <v>2000933610</v>
      </c>
      <c r="D143" s="2">
        <v>42.5</v>
      </c>
      <c r="E143" s="2"/>
      <c r="F143" s="2">
        <v>225</v>
      </c>
      <c r="G143" s="2">
        <v>450</v>
      </c>
      <c r="H143" s="2"/>
      <c r="I143" s="2"/>
      <c r="J143" s="3">
        <f>IF(A143="Upgrade",IF(OR(H143=4,H143=5),VLOOKUP(I143,'Renewal Rates'!$A$22:$B$27,2,FALSE),2.7%),IF(A143="Renewal",100%,0%))</f>
        <v>2.7000000000000003E-2</v>
      </c>
      <c r="K143" s="2" t="s">
        <v>22</v>
      </c>
      <c r="L143" s="2">
        <v>374</v>
      </c>
      <c r="M143" s="2" t="s">
        <v>23</v>
      </c>
      <c r="N143" s="2" t="s">
        <v>24</v>
      </c>
      <c r="O143" s="4">
        <v>113572</v>
      </c>
      <c r="P143" s="4">
        <v>2671</v>
      </c>
      <c r="Q143" s="4">
        <v>38615</v>
      </c>
      <c r="R143" s="4">
        <v>152187</v>
      </c>
      <c r="S143" s="5">
        <v>0.4</v>
      </c>
      <c r="T143" s="4">
        <v>60875</v>
      </c>
      <c r="U143" s="4">
        <v>213062</v>
      </c>
      <c r="V143" s="6">
        <f t="shared" si="4"/>
        <v>5752.6740000000009</v>
      </c>
      <c r="W143" s="6">
        <f t="shared" si="5"/>
        <v>207309.326</v>
      </c>
    </row>
    <row r="144" spans="1:23" x14ac:dyDescent="0.3">
      <c r="A144" s="2" t="s">
        <v>21</v>
      </c>
      <c r="B144" s="2">
        <v>4.0090000000000003</v>
      </c>
      <c r="C144" s="2">
        <v>2000243014</v>
      </c>
      <c r="D144" s="2">
        <v>67</v>
      </c>
      <c r="E144" s="2"/>
      <c r="F144" s="2">
        <v>225</v>
      </c>
      <c r="G144" s="2">
        <v>450</v>
      </c>
      <c r="H144" s="2"/>
      <c r="I144" s="2"/>
      <c r="J144" s="3">
        <f>IF(A144="Upgrade",IF(OR(H144=4,H144=5),VLOOKUP(I144,'Renewal Rates'!$A$22:$B$27,2,FALSE),2.7%),IF(A144="Renewal",100%,0%))</f>
        <v>2.7000000000000003E-2</v>
      </c>
      <c r="K144" s="2" t="s">
        <v>22</v>
      </c>
      <c r="L144" s="2">
        <v>374</v>
      </c>
      <c r="M144" s="2" t="s">
        <v>23</v>
      </c>
      <c r="N144" s="2" t="s">
        <v>24</v>
      </c>
      <c r="O144" s="4">
        <v>189249</v>
      </c>
      <c r="P144" s="4">
        <v>2824</v>
      </c>
      <c r="Q144" s="4">
        <v>64345</v>
      </c>
      <c r="R144" s="4">
        <v>253593</v>
      </c>
      <c r="S144" s="5">
        <v>0.4</v>
      </c>
      <c r="T144" s="4">
        <v>101437</v>
      </c>
      <c r="U144" s="4">
        <v>355031</v>
      </c>
      <c r="V144" s="6">
        <f t="shared" si="4"/>
        <v>9585.8370000000014</v>
      </c>
      <c r="W144" s="6">
        <f t="shared" si="5"/>
        <v>345445.163</v>
      </c>
    </row>
    <row r="145" spans="1:23" x14ac:dyDescent="0.3">
      <c r="A145" s="2" t="s">
        <v>21</v>
      </c>
      <c r="B145" s="2">
        <v>4.008</v>
      </c>
      <c r="C145" s="2">
        <v>2000453841</v>
      </c>
      <c r="D145" s="2">
        <v>64.599999999999994</v>
      </c>
      <c r="E145" s="2"/>
      <c r="F145" s="2">
        <v>375</v>
      </c>
      <c r="G145" s="2">
        <v>825</v>
      </c>
      <c r="H145" s="2"/>
      <c r="I145" s="2"/>
      <c r="J145" s="3">
        <f>IF(A145="Upgrade",IF(OR(H145=4,H145=5),VLOOKUP(I145,'Renewal Rates'!$A$22:$B$27,2,FALSE),2.7%),IF(A145="Renewal",100%,0%))</f>
        <v>2.7000000000000003E-2</v>
      </c>
      <c r="K145" s="2" t="s">
        <v>22</v>
      </c>
      <c r="L145" s="2">
        <v>374</v>
      </c>
      <c r="M145" s="2" t="s">
        <v>23</v>
      </c>
      <c r="N145" s="2" t="s">
        <v>24</v>
      </c>
      <c r="O145" s="4">
        <v>330962</v>
      </c>
      <c r="P145" s="4">
        <v>5126</v>
      </c>
      <c r="Q145" s="4">
        <v>112527</v>
      </c>
      <c r="R145" s="4">
        <v>443489</v>
      </c>
      <c r="S145" s="5">
        <v>0.4</v>
      </c>
      <c r="T145" s="4">
        <v>177396</v>
      </c>
      <c r="U145" s="4">
        <v>620885</v>
      </c>
      <c r="V145" s="6">
        <f t="shared" si="4"/>
        <v>16763.895</v>
      </c>
      <c r="W145" s="6">
        <f t="shared" si="5"/>
        <v>604121.10499999998</v>
      </c>
    </row>
    <row r="146" spans="1:23" x14ac:dyDescent="0.3">
      <c r="A146" s="2" t="s">
        <v>21</v>
      </c>
      <c r="B146" s="2">
        <v>4.0069999999999997</v>
      </c>
      <c r="C146" s="2">
        <v>2000012207</v>
      </c>
      <c r="D146" s="2">
        <v>43.8</v>
      </c>
      <c r="E146" s="2"/>
      <c r="F146" s="2">
        <v>375</v>
      </c>
      <c r="G146" s="2">
        <v>750</v>
      </c>
      <c r="H146" s="2"/>
      <c r="I146" s="2"/>
      <c r="J146" s="3">
        <f>IF(A146="Upgrade",IF(OR(H146=4,H146=5),VLOOKUP(I146,'Renewal Rates'!$A$22:$B$27,2,FALSE),2.7%),IF(A146="Renewal",100%,0%))</f>
        <v>2.7000000000000003E-2</v>
      </c>
      <c r="K146" s="2" t="s">
        <v>22</v>
      </c>
      <c r="L146" s="2">
        <v>374</v>
      </c>
      <c r="M146" s="2" t="s">
        <v>23</v>
      </c>
      <c r="N146" s="2" t="s">
        <v>24</v>
      </c>
      <c r="O146" s="4">
        <v>186846</v>
      </c>
      <c r="P146" s="4">
        <v>4266</v>
      </c>
      <c r="Q146" s="4">
        <v>63528</v>
      </c>
      <c r="R146" s="4">
        <v>250374</v>
      </c>
      <c r="S146" s="5">
        <v>0.4</v>
      </c>
      <c r="T146" s="4">
        <v>100150</v>
      </c>
      <c r="U146" s="4">
        <v>350524</v>
      </c>
      <c r="V146" s="6">
        <f t="shared" si="4"/>
        <v>9464.148000000001</v>
      </c>
      <c r="W146" s="6">
        <f t="shared" si="5"/>
        <v>341059.85200000001</v>
      </c>
    </row>
    <row r="147" spans="1:23" x14ac:dyDescent="0.3">
      <c r="A147" s="2" t="s">
        <v>21</v>
      </c>
      <c r="B147" s="2">
        <v>4.0069999999999997</v>
      </c>
      <c r="C147" s="2">
        <v>2000878035</v>
      </c>
      <c r="D147" s="2">
        <v>29.4</v>
      </c>
      <c r="E147" s="2"/>
      <c r="F147" s="2">
        <v>375</v>
      </c>
      <c r="G147" s="2">
        <v>750</v>
      </c>
      <c r="H147" s="2"/>
      <c r="I147" s="2"/>
      <c r="J147" s="3">
        <f>IF(A147="Upgrade",IF(OR(H147=4,H147=5),VLOOKUP(I147,'Renewal Rates'!$A$22:$B$27,2,FALSE),2.7%),IF(A147="Renewal",100%,0%))</f>
        <v>2.7000000000000003E-2</v>
      </c>
      <c r="K147" s="2" t="s">
        <v>22</v>
      </c>
      <c r="L147" s="2">
        <v>374</v>
      </c>
      <c r="M147" s="2" t="s">
        <v>23</v>
      </c>
      <c r="N147" s="2" t="s">
        <v>24</v>
      </c>
      <c r="O147" s="4">
        <v>147807</v>
      </c>
      <c r="P147" s="4">
        <v>5031</v>
      </c>
      <c r="Q147" s="4">
        <v>50254</v>
      </c>
      <c r="R147" s="4">
        <v>198061</v>
      </c>
      <c r="S147" s="5">
        <v>0.4</v>
      </c>
      <c r="T147" s="4">
        <v>79225</v>
      </c>
      <c r="U147" s="4">
        <v>277286</v>
      </c>
      <c r="V147" s="6">
        <f t="shared" si="4"/>
        <v>7486.7220000000007</v>
      </c>
      <c r="W147" s="6">
        <f t="shared" si="5"/>
        <v>269799.27799999999</v>
      </c>
    </row>
    <row r="148" spans="1:23" x14ac:dyDescent="0.3">
      <c r="A148" s="2" t="s">
        <v>21</v>
      </c>
      <c r="B148" s="2">
        <v>4.0069999999999997</v>
      </c>
      <c r="C148" s="2">
        <v>2000826253</v>
      </c>
      <c r="D148" s="2">
        <v>45.7</v>
      </c>
      <c r="E148" s="2"/>
      <c r="F148" s="2">
        <v>375</v>
      </c>
      <c r="G148" s="2">
        <v>750</v>
      </c>
      <c r="H148" s="2"/>
      <c r="I148" s="2"/>
      <c r="J148" s="3">
        <f>IF(A148="Upgrade",IF(OR(H148=4,H148=5),VLOOKUP(I148,'Renewal Rates'!$A$22:$B$27,2,FALSE),2.7%),IF(A148="Renewal",100%,0%))</f>
        <v>2.7000000000000003E-2</v>
      </c>
      <c r="K148" s="2" t="s">
        <v>22</v>
      </c>
      <c r="L148" s="2">
        <v>374</v>
      </c>
      <c r="M148" s="2" t="s">
        <v>23</v>
      </c>
      <c r="N148" s="2" t="s">
        <v>24</v>
      </c>
      <c r="O148" s="4">
        <v>189431</v>
      </c>
      <c r="P148" s="4">
        <v>4145</v>
      </c>
      <c r="Q148" s="4">
        <v>64406</v>
      </c>
      <c r="R148" s="4">
        <v>253837</v>
      </c>
      <c r="S148" s="5">
        <v>0.4</v>
      </c>
      <c r="T148" s="4">
        <v>101535</v>
      </c>
      <c r="U148" s="4">
        <v>355372</v>
      </c>
      <c r="V148" s="6">
        <f t="shared" si="4"/>
        <v>9595.0440000000017</v>
      </c>
      <c r="W148" s="6">
        <f t="shared" si="5"/>
        <v>345776.95600000001</v>
      </c>
    </row>
    <row r="149" spans="1:23" x14ac:dyDescent="0.3">
      <c r="A149" s="2" t="s">
        <v>21</v>
      </c>
      <c r="B149" s="2">
        <v>4.0069999999999997</v>
      </c>
      <c r="C149" s="2">
        <v>2000198616</v>
      </c>
      <c r="D149" s="2">
        <v>24.9</v>
      </c>
      <c r="E149" s="2"/>
      <c r="F149" s="2">
        <v>225</v>
      </c>
      <c r="G149" s="2">
        <v>750</v>
      </c>
      <c r="H149" s="2"/>
      <c r="I149" s="2"/>
      <c r="J149" s="3">
        <f>IF(A149="Upgrade",IF(OR(H149=4,H149=5),VLOOKUP(I149,'Renewal Rates'!$A$22:$B$27,2,FALSE),2.7%),IF(A149="Renewal",100%,0%))</f>
        <v>2.7000000000000003E-2</v>
      </c>
      <c r="K149" s="2" t="s">
        <v>22</v>
      </c>
      <c r="L149" s="2">
        <v>374</v>
      </c>
      <c r="M149" s="2" t="s">
        <v>23</v>
      </c>
      <c r="N149" s="2" t="s">
        <v>24</v>
      </c>
      <c r="O149" s="4">
        <v>122334</v>
      </c>
      <c r="P149" s="4">
        <v>4905</v>
      </c>
      <c r="Q149" s="4">
        <v>41594</v>
      </c>
      <c r="R149" s="4">
        <v>163928</v>
      </c>
      <c r="S149" s="5">
        <v>0.4</v>
      </c>
      <c r="T149" s="4">
        <v>65571</v>
      </c>
      <c r="U149" s="4">
        <v>229499</v>
      </c>
      <c r="V149" s="6">
        <f t="shared" si="4"/>
        <v>6196.4730000000009</v>
      </c>
      <c r="W149" s="6">
        <f t="shared" si="5"/>
        <v>223302.527</v>
      </c>
    </row>
    <row r="150" spans="1:23" x14ac:dyDescent="0.3">
      <c r="A150" s="2" t="s">
        <v>21</v>
      </c>
      <c r="B150" s="2">
        <v>4.0069999999999997</v>
      </c>
      <c r="C150" s="2">
        <v>2000380086</v>
      </c>
      <c r="D150" s="2">
        <v>47.7</v>
      </c>
      <c r="E150" s="2"/>
      <c r="F150" s="2">
        <v>225</v>
      </c>
      <c r="G150" s="2">
        <v>750</v>
      </c>
      <c r="H150" s="2"/>
      <c r="I150" s="2"/>
      <c r="J150" s="3">
        <f>IF(A150="Upgrade",IF(OR(H150=4,H150=5),VLOOKUP(I150,'Renewal Rates'!$A$22:$B$27,2,FALSE),2.7%),IF(A150="Renewal",100%,0%))</f>
        <v>2.7000000000000003E-2</v>
      </c>
      <c r="K150" s="2" t="s">
        <v>22</v>
      </c>
      <c r="L150" s="2">
        <v>374</v>
      </c>
      <c r="M150" s="2" t="s">
        <v>23</v>
      </c>
      <c r="N150" s="2" t="s">
        <v>24</v>
      </c>
      <c r="O150" s="4">
        <v>211546</v>
      </c>
      <c r="P150" s="4">
        <v>4438</v>
      </c>
      <c r="Q150" s="4">
        <v>71925</v>
      </c>
      <c r="R150" s="4">
        <v>283471</v>
      </c>
      <c r="S150" s="5">
        <v>0.4</v>
      </c>
      <c r="T150" s="4">
        <v>113388</v>
      </c>
      <c r="U150" s="4">
        <v>396859</v>
      </c>
      <c r="V150" s="6">
        <f t="shared" si="4"/>
        <v>10715.193000000001</v>
      </c>
      <c r="W150" s="6">
        <f t="shared" si="5"/>
        <v>386143.80699999997</v>
      </c>
    </row>
    <row r="151" spans="1:23" x14ac:dyDescent="0.3">
      <c r="A151" s="2" t="s">
        <v>21</v>
      </c>
      <c r="B151" s="2">
        <v>4.0060000000000002</v>
      </c>
      <c r="C151" s="2">
        <v>2000422225</v>
      </c>
      <c r="D151" s="2">
        <v>83.3</v>
      </c>
      <c r="E151" s="2"/>
      <c r="F151" s="2">
        <v>225</v>
      </c>
      <c r="G151" s="2">
        <v>600</v>
      </c>
      <c r="H151" s="2"/>
      <c r="I151" s="2"/>
      <c r="J151" s="3">
        <f>IF(A151="Upgrade",IF(OR(H151=4,H151=5),VLOOKUP(I151,'Renewal Rates'!$A$22:$B$27,2,FALSE),2.7%),IF(A151="Renewal",100%,0%))</f>
        <v>2.7000000000000003E-2</v>
      </c>
      <c r="K151" s="2" t="s">
        <v>22</v>
      </c>
      <c r="L151" s="2">
        <v>374</v>
      </c>
      <c r="M151" s="2" t="s">
        <v>23</v>
      </c>
      <c r="N151" s="2" t="s">
        <v>24</v>
      </c>
      <c r="O151" s="4">
        <v>284087</v>
      </c>
      <c r="P151" s="4">
        <v>3410</v>
      </c>
      <c r="Q151" s="4">
        <v>96590</v>
      </c>
      <c r="R151" s="4">
        <v>380677</v>
      </c>
      <c r="S151" s="5">
        <v>0.4</v>
      </c>
      <c r="T151" s="4">
        <v>152271</v>
      </c>
      <c r="U151" s="4">
        <v>532947</v>
      </c>
      <c r="V151" s="6">
        <f t="shared" si="4"/>
        <v>14389.569000000001</v>
      </c>
      <c r="W151" s="6">
        <f t="shared" si="5"/>
        <v>518557.43099999998</v>
      </c>
    </row>
    <row r="152" spans="1:23" x14ac:dyDescent="0.3">
      <c r="A152" s="2" t="s">
        <v>21</v>
      </c>
      <c r="B152" s="2">
        <v>4.0060000000000002</v>
      </c>
      <c r="C152" s="2">
        <v>2000648643</v>
      </c>
      <c r="D152" s="2">
        <v>14.5</v>
      </c>
      <c r="E152" s="2"/>
      <c r="F152" s="2">
        <v>225</v>
      </c>
      <c r="G152" s="2">
        <v>600</v>
      </c>
      <c r="H152" s="2"/>
      <c r="I152" s="2"/>
      <c r="J152" s="3">
        <f>IF(A152="Upgrade",IF(OR(H152=4,H152=5),VLOOKUP(I152,'Renewal Rates'!$A$22:$B$27,2,FALSE),2.7%),IF(A152="Renewal",100%,0%))</f>
        <v>2.7000000000000003E-2</v>
      </c>
      <c r="K152" s="2" t="s">
        <v>22</v>
      </c>
      <c r="L152" s="2">
        <v>374</v>
      </c>
      <c r="M152" s="2" t="s">
        <v>23</v>
      </c>
      <c r="N152" s="2" t="s">
        <v>24</v>
      </c>
      <c r="O152" s="4">
        <v>77844</v>
      </c>
      <c r="P152" s="4">
        <v>5386</v>
      </c>
      <c r="Q152" s="4">
        <v>26467</v>
      </c>
      <c r="R152" s="4">
        <v>104311</v>
      </c>
      <c r="S152" s="5">
        <v>0.4</v>
      </c>
      <c r="T152" s="4">
        <v>41724</v>
      </c>
      <c r="U152" s="4">
        <v>146035</v>
      </c>
      <c r="V152" s="6">
        <f t="shared" si="4"/>
        <v>3942.9450000000006</v>
      </c>
      <c r="W152" s="6">
        <f t="shared" si="5"/>
        <v>142092.05499999999</v>
      </c>
    </row>
    <row r="153" spans="1:23" x14ac:dyDescent="0.3">
      <c r="A153" s="2" t="s">
        <v>25</v>
      </c>
      <c r="B153" s="2">
        <v>4.0030000000000001</v>
      </c>
      <c r="C153" s="2"/>
      <c r="D153" s="2"/>
      <c r="E153" s="2">
        <v>98.5</v>
      </c>
      <c r="F153" s="2"/>
      <c r="G153" s="2">
        <v>450</v>
      </c>
      <c r="H153" s="2"/>
      <c r="I153" s="2"/>
      <c r="J153" s="3">
        <f>IF(A153="Upgrade",IF(OR(H153=4,H153=5),VLOOKUP(I153,'Renewal Rates'!$A$22:$B$27,2,FALSE),2.7%),IF(A153="Renewal",100%,0%))</f>
        <v>0</v>
      </c>
      <c r="K153" s="2" t="s">
        <v>22</v>
      </c>
      <c r="L153" s="2">
        <v>374</v>
      </c>
      <c r="M153" s="2" t="s">
        <v>23</v>
      </c>
      <c r="N153" s="2" t="s">
        <v>24</v>
      </c>
      <c r="O153" s="4">
        <v>250575</v>
      </c>
      <c r="P153" s="4">
        <v>2543</v>
      </c>
      <c r="Q153" s="4">
        <v>85196</v>
      </c>
      <c r="R153" s="4">
        <v>335771</v>
      </c>
      <c r="S153" s="5">
        <v>0.4</v>
      </c>
      <c r="T153" s="4">
        <v>134308</v>
      </c>
      <c r="U153" s="4">
        <v>470079</v>
      </c>
      <c r="V153" s="6">
        <f t="shared" si="4"/>
        <v>0</v>
      </c>
      <c r="W153" s="6">
        <f t="shared" si="5"/>
        <v>470079</v>
      </c>
    </row>
    <row r="154" spans="1:23" x14ac:dyDescent="0.3">
      <c r="A154" s="2" t="s">
        <v>21</v>
      </c>
      <c r="B154" s="2">
        <v>4.0330000000000004</v>
      </c>
      <c r="C154" s="2">
        <v>2000274409</v>
      </c>
      <c r="D154" s="2">
        <v>30.4</v>
      </c>
      <c r="E154" s="2"/>
      <c r="F154" s="2">
        <v>450</v>
      </c>
      <c r="G154" s="2">
        <v>600</v>
      </c>
      <c r="H154" s="2"/>
      <c r="I154" s="2"/>
      <c r="J154" s="3">
        <f>IF(A154="Upgrade",IF(OR(H154=4,H154=5),VLOOKUP(I154,'Renewal Rates'!$A$22:$B$27,2,FALSE),2.7%),IF(A154="Renewal",100%,0%))</f>
        <v>2.7000000000000003E-2</v>
      </c>
      <c r="K154" s="2" t="s">
        <v>22</v>
      </c>
      <c r="L154" s="2">
        <v>374</v>
      </c>
      <c r="M154" s="2" t="s">
        <v>23</v>
      </c>
      <c r="N154" s="2" t="s">
        <v>24</v>
      </c>
      <c r="O154" s="4">
        <v>130200</v>
      </c>
      <c r="P154" s="4">
        <v>4277</v>
      </c>
      <c r="Q154" s="4">
        <v>44268</v>
      </c>
      <c r="R154" s="4">
        <v>174468</v>
      </c>
      <c r="S154" s="5">
        <v>0.4</v>
      </c>
      <c r="T154" s="4">
        <v>69787</v>
      </c>
      <c r="U154" s="4">
        <v>244255</v>
      </c>
      <c r="V154" s="6">
        <f t="shared" si="4"/>
        <v>6594.8850000000011</v>
      </c>
      <c r="W154" s="6">
        <f t="shared" si="5"/>
        <v>237660.11499999999</v>
      </c>
    </row>
    <row r="155" spans="1:23" x14ac:dyDescent="0.3">
      <c r="A155" s="2" t="s">
        <v>21</v>
      </c>
      <c r="B155" s="2">
        <v>4.032</v>
      </c>
      <c r="C155" s="2">
        <v>2000043411</v>
      </c>
      <c r="D155" s="2">
        <v>8.3000000000000007</v>
      </c>
      <c r="E155" s="2"/>
      <c r="F155" s="2">
        <v>450</v>
      </c>
      <c r="G155" s="2">
        <v>600</v>
      </c>
      <c r="H155" s="2"/>
      <c r="I155" s="2"/>
      <c r="J155" s="3">
        <f>IF(A155="Upgrade",IF(OR(H155=4,H155=5),VLOOKUP(I155,'Renewal Rates'!$A$22:$B$27,2,FALSE),2.7%),IF(A155="Renewal",100%,0%))</f>
        <v>2.7000000000000003E-2</v>
      </c>
      <c r="K155" s="2" t="s">
        <v>22</v>
      </c>
      <c r="L155" s="2">
        <v>374</v>
      </c>
      <c r="M155" s="2" t="s">
        <v>23</v>
      </c>
      <c r="N155" s="2" t="s">
        <v>24</v>
      </c>
      <c r="O155" s="4">
        <v>52036</v>
      </c>
      <c r="P155" s="4">
        <v>6274</v>
      </c>
      <c r="Q155" s="4">
        <v>17692</v>
      </c>
      <c r="R155" s="4">
        <v>69729</v>
      </c>
      <c r="S155" s="5">
        <v>0.4</v>
      </c>
      <c r="T155" s="4">
        <v>27892</v>
      </c>
      <c r="U155" s="4">
        <v>97620</v>
      </c>
      <c r="V155" s="6">
        <f t="shared" si="4"/>
        <v>2635.7400000000002</v>
      </c>
      <c r="W155" s="6">
        <f t="shared" si="5"/>
        <v>94984.26</v>
      </c>
    </row>
    <row r="156" spans="1:23" x14ac:dyDescent="0.3">
      <c r="A156" s="2" t="s">
        <v>21</v>
      </c>
      <c r="B156" s="2">
        <v>4.032</v>
      </c>
      <c r="C156" s="2">
        <v>2000207751</v>
      </c>
      <c r="D156" s="2">
        <v>55.9</v>
      </c>
      <c r="E156" s="2"/>
      <c r="F156" s="2">
        <v>450</v>
      </c>
      <c r="G156" s="2">
        <v>600</v>
      </c>
      <c r="H156" s="2"/>
      <c r="I156" s="2"/>
      <c r="J156" s="3">
        <f>IF(A156="Upgrade",IF(OR(H156=4,H156=5),VLOOKUP(I156,'Renewal Rates'!$A$22:$B$27,2,FALSE),2.7%),IF(A156="Renewal",100%,0%))</f>
        <v>2.7000000000000003E-2</v>
      </c>
      <c r="K156" s="2" t="s">
        <v>22</v>
      </c>
      <c r="L156" s="2">
        <v>374</v>
      </c>
      <c r="M156" s="2" t="s">
        <v>23</v>
      </c>
      <c r="N156" s="2" t="s">
        <v>24</v>
      </c>
      <c r="O156" s="4">
        <v>197453</v>
      </c>
      <c r="P156" s="4">
        <v>3531</v>
      </c>
      <c r="Q156" s="4">
        <v>67134</v>
      </c>
      <c r="R156" s="4">
        <v>264587</v>
      </c>
      <c r="S156" s="5">
        <v>0.4</v>
      </c>
      <c r="T156" s="4">
        <v>105835</v>
      </c>
      <c r="U156" s="4">
        <v>370422</v>
      </c>
      <c r="V156" s="6">
        <f t="shared" si="4"/>
        <v>10001.394000000002</v>
      </c>
      <c r="W156" s="6">
        <f t="shared" si="5"/>
        <v>360420.60599999997</v>
      </c>
    </row>
    <row r="157" spans="1:23" x14ac:dyDescent="0.3">
      <c r="A157" s="2" t="s">
        <v>21</v>
      </c>
      <c r="B157" s="2">
        <v>4.032</v>
      </c>
      <c r="C157" s="2">
        <v>2000828346</v>
      </c>
      <c r="D157" s="2">
        <v>11.7</v>
      </c>
      <c r="E157" s="2"/>
      <c r="F157" s="2">
        <v>225</v>
      </c>
      <c r="G157" s="2">
        <v>600</v>
      </c>
      <c r="H157" s="2"/>
      <c r="I157" s="2"/>
      <c r="J157" s="3">
        <f>IF(A157="Upgrade",IF(OR(H157=4,H157=5),VLOOKUP(I157,'Renewal Rates'!$A$22:$B$27,2,FALSE),2.7%),IF(A157="Renewal",100%,0%))</f>
        <v>2.7000000000000003E-2</v>
      </c>
      <c r="K157" s="2" t="s">
        <v>22</v>
      </c>
      <c r="L157" s="2">
        <v>374</v>
      </c>
      <c r="M157" s="2" t="s">
        <v>23</v>
      </c>
      <c r="N157" s="2" t="s">
        <v>24</v>
      </c>
      <c r="O157" s="4">
        <v>75032</v>
      </c>
      <c r="P157" s="4">
        <v>6395</v>
      </c>
      <c r="Q157" s="4">
        <v>25511</v>
      </c>
      <c r="R157" s="4">
        <v>100542</v>
      </c>
      <c r="S157" s="5">
        <v>0.4</v>
      </c>
      <c r="T157" s="4">
        <v>40217</v>
      </c>
      <c r="U157" s="4">
        <v>140759</v>
      </c>
      <c r="V157" s="6">
        <f t="shared" si="4"/>
        <v>3800.4930000000004</v>
      </c>
      <c r="W157" s="6">
        <f t="shared" si="5"/>
        <v>136958.50700000001</v>
      </c>
    </row>
    <row r="158" spans="1:23" x14ac:dyDescent="0.3">
      <c r="A158" s="2" t="s">
        <v>21</v>
      </c>
      <c r="B158" s="2">
        <v>4.0309999999999997</v>
      </c>
      <c r="C158" s="2">
        <v>2000469495</v>
      </c>
      <c r="D158" s="2">
        <v>39.799999999999997</v>
      </c>
      <c r="E158" s="2"/>
      <c r="F158" s="2">
        <v>225</v>
      </c>
      <c r="G158" s="2">
        <v>600</v>
      </c>
      <c r="H158" s="2"/>
      <c r="I158" s="2"/>
      <c r="J158" s="3">
        <f>IF(A158="Upgrade",IF(OR(H158=4,H158=5),VLOOKUP(I158,'Renewal Rates'!$A$22:$B$27,2,FALSE),2.7%),IF(A158="Renewal",100%,0%))</f>
        <v>2.7000000000000003E-2</v>
      </c>
      <c r="K158" s="2" t="s">
        <v>22</v>
      </c>
      <c r="L158" s="2">
        <v>374</v>
      </c>
      <c r="M158" s="2" t="s">
        <v>23</v>
      </c>
      <c r="N158" s="2" t="s">
        <v>24</v>
      </c>
      <c r="O158" s="4">
        <v>142910</v>
      </c>
      <c r="P158" s="4">
        <v>3593</v>
      </c>
      <c r="Q158" s="4">
        <v>48589</v>
      </c>
      <c r="R158" s="4">
        <v>191499</v>
      </c>
      <c r="S158" s="5">
        <v>0.4</v>
      </c>
      <c r="T158" s="4">
        <v>76600</v>
      </c>
      <c r="U158" s="4">
        <v>268099</v>
      </c>
      <c r="V158" s="6">
        <f t="shared" si="4"/>
        <v>7238.6730000000007</v>
      </c>
      <c r="W158" s="6">
        <f t="shared" si="5"/>
        <v>260860.32699999999</v>
      </c>
    </row>
    <row r="159" spans="1:23" x14ac:dyDescent="0.3">
      <c r="A159" s="2" t="s">
        <v>25</v>
      </c>
      <c r="B159" s="2">
        <v>4.0019999999999998</v>
      </c>
      <c r="C159" s="2"/>
      <c r="D159" s="2"/>
      <c r="E159" s="2">
        <v>85.4</v>
      </c>
      <c r="F159" s="2"/>
      <c r="G159" s="2">
        <v>450</v>
      </c>
      <c r="H159" s="2"/>
      <c r="I159" s="2"/>
      <c r="J159" s="3">
        <f>IF(A159="Upgrade",IF(OR(H159=4,H159=5),VLOOKUP(I159,'Renewal Rates'!$A$22:$B$27,2,FALSE),2.7%),IF(A159="Renewal",100%,0%))</f>
        <v>0</v>
      </c>
      <c r="K159" s="2" t="s">
        <v>22</v>
      </c>
      <c r="L159" s="2">
        <v>374</v>
      </c>
      <c r="M159" s="2" t="s">
        <v>23</v>
      </c>
      <c r="N159" s="2" t="s">
        <v>24</v>
      </c>
      <c r="O159" s="4">
        <v>221807</v>
      </c>
      <c r="P159" s="4">
        <v>2596</v>
      </c>
      <c r="Q159" s="4">
        <v>75414</v>
      </c>
      <c r="R159" s="4">
        <v>297221</v>
      </c>
      <c r="S159" s="5">
        <v>0.4</v>
      </c>
      <c r="T159" s="4">
        <v>118888</v>
      </c>
      <c r="U159" s="4">
        <v>416110</v>
      </c>
      <c r="V159" s="6">
        <f t="shared" si="4"/>
        <v>0</v>
      </c>
      <c r="W159" s="6">
        <f t="shared" si="5"/>
        <v>416110</v>
      </c>
    </row>
    <row r="160" spans="1:23" x14ac:dyDescent="0.3">
      <c r="A160" s="2" t="s">
        <v>21</v>
      </c>
      <c r="B160" s="2">
        <v>4.0369999999999999</v>
      </c>
      <c r="C160" s="2">
        <v>2000649953</v>
      </c>
      <c r="D160" s="2">
        <v>64</v>
      </c>
      <c r="E160" s="2"/>
      <c r="F160" s="2">
        <v>450</v>
      </c>
      <c r="G160" s="2">
        <v>675</v>
      </c>
      <c r="H160" s="2">
        <v>5</v>
      </c>
      <c r="I160" s="2">
        <v>2</v>
      </c>
      <c r="J160" s="3">
        <f>IF(A160="Upgrade",IF(OR(H160=4,H160=5),VLOOKUP(I160,'Renewal Rates'!$A$22:$B$27,2,FALSE),2.7%),IF(A160="Renewal",100%,0%))</f>
        <v>0</v>
      </c>
      <c r="K160" s="2" t="s">
        <v>22</v>
      </c>
      <c r="L160" s="2">
        <v>374</v>
      </c>
      <c r="M160" s="2" t="s">
        <v>23</v>
      </c>
      <c r="N160" s="2" t="s">
        <v>24</v>
      </c>
      <c r="O160" s="4">
        <v>291608</v>
      </c>
      <c r="P160" s="4">
        <v>4554</v>
      </c>
      <c r="Q160" s="4">
        <v>99147</v>
      </c>
      <c r="R160" s="4">
        <v>390755</v>
      </c>
      <c r="S160" s="5">
        <v>0.4</v>
      </c>
      <c r="T160" s="4">
        <v>156302</v>
      </c>
      <c r="U160" s="4">
        <v>547056</v>
      </c>
      <c r="V160" s="6">
        <f t="shared" si="4"/>
        <v>0</v>
      </c>
      <c r="W160" s="6">
        <f t="shared" si="5"/>
        <v>547056</v>
      </c>
    </row>
    <row r="161" spans="1:23" x14ac:dyDescent="0.3">
      <c r="A161" s="2" t="s">
        <v>21</v>
      </c>
      <c r="B161" s="2">
        <v>4.0359999999999996</v>
      </c>
      <c r="C161" s="2">
        <v>2000600821</v>
      </c>
      <c r="D161" s="2">
        <v>76.8</v>
      </c>
      <c r="E161" s="2"/>
      <c r="F161" s="2">
        <v>450</v>
      </c>
      <c r="G161" s="2">
        <v>675</v>
      </c>
      <c r="H161" s="2"/>
      <c r="I161" s="2"/>
      <c r="J161" s="3">
        <f>IF(A161="Upgrade",IF(OR(H161=4,H161=5),VLOOKUP(I161,'Renewal Rates'!$A$22:$B$27,2,FALSE),2.7%),IF(A161="Renewal",100%,0%))</f>
        <v>2.7000000000000003E-2</v>
      </c>
      <c r="K161" s="2" t="s">
        <v>22</v>
      </c>
      <c r="L161" s="2">
        <v>374</v>
      </c>
      <c r="M161" s="2" t="s">
        <v>23</v>
      </c>
      <c r="N161" s="2" t="s">
        <v>24</v>
      </c>
      <c r="O161" s="4">
        <v>302914</v>
      </c>
      <c r="P161" s="4">
        <v>3945</v>
      </c>
      <c r="Q161" s="4">
        <v>102991</v>
      </c>
      <c r="R161" s="4">
        <v>405905</v>
      </c>
      <c r="S161" s="5">
        <v>0.4</v>
      </c>
      <c r="T161" s="4">
        <v>162362</v>
      </c>
      <c r="U161" s="4">
        <v>568266</v>
      </c>
      <c r="V161" s="6">
        <f t="shared" si="4"/>
        <v>15343.182000000003</v>
      </c>
      <c r="W161" s="6">
        <f t="shared" si="5"/>
        <v>552922.81799999997</v>
      </c>
    </row>
    <row r="162" spans="1:23" x14ac:dyDescent="0.3">
      <c r="A162" s="2" t="s">
        <v>21</v>
      </c>
      <c r="B162" s="2">
        <v>4.0350000000000001</v>
      </c>
      <c r="C162" s="2">
        <v>2000900429</v>
      </c>
      <c r="D162" s="2">
        <v>75</v>
      </c>
      <c r="E162" s="2"/>
      <c r="F162" s="2">
        <v>450</v>
      </c>
      <c r="G162" s="2">
        <v>675</v>
      </c>
      <c r="H162" s="2"/>
      <c r="I162" s="2"/>
      <c r="J162" s="3">
        <f>IF(A162="Upgrade",IF(OR(H162=4,H162=5),VLOOKUP(I162,'Renewal Rates'!$A$22:$B$27,2,FALSE),2.7%),IF(A162="Renewal",100%,0%))</f>
        <v>2.7000000000000003E-2</v>
      </c>
      <c r="K162" s="2" t="s">
        <v>22</v>
      </c>
      <c r="L162" s="2">
        <v>374</v>
      </c>
      <c r="M162" s="2" t="s">
        <v>23</v>
      </c>
      <c r="N162" s="2" t="s">
        <v>24</v>
      </c>
      <c r="O162" s="4">
        <v>300746</v>
      </c>
      <c r="P162" s="4">
        <v>4011</v>
      </c>
      <c r="Q162" s="4">
        <v>102254</v>
      </c>
      <c r="R162" s="4">
        <v>403000</v>
      </c>
      <c r="S162" s="5">
        <v>0.4</v>
      </c>
      <c r="T162" s="4">
        <v>161200</v>
      </c>
      <c r="U162" s="4">
        <v>564200</v>
      </c>
      <c r="V162" s="6">
        <f t="shared" si="4"/>
        <v>15233.400000000001</v>
      </c>
      <c r="W162" s="6">
        <f t="shared" si="5"/>
        <v>548966.6</v>
      </c>
    </row>
    <row r="163" spans="1:23" x14ac:dyDescent="0.3">
      <c r="A163" s="2" t="s">
        <v>21</v>
      </c>
      <c r="B163" s="2">
        <v>4.0350000000000001</v>
      </c>
      <c r="C163" s="2">
        <v>2000497424</v>
      </c>
      <c r="D163" s="2">
        <v>93.3</v>
      </c>
      <c r="E163" s="2"/>
      <c r="F163" s="2">
        <v>375</v>
      </c>
      <c r="G163" s="2">
        <v>675</v>
      </c>
      <c r="H163" s="2"/>
      <c r="I163" s="2"/>
      <c r="J163" s="3">
        <f>IF(A163="Upgrade",IF(OR(H163=4,H163=5),VLOOKUP(I163,'Renewal Rates'!$A$22:$B$27,2,FALSE),2.7%),IF(A163="Renewal",100%,0%))</f>
        <v>2.7000000000000003E-2</v>
      </c>
      <c r="K163" s="2" t="s">
        <v>22</v>
      </c>
      <c r="L163" s="2">
        <v>374</v>
      </c>
      <c r="M163" s="2" t="s">
        <v>23</v>
      </c>
      <c r="N163" s="2" t="s">
        <v>24</v>
      </c>
      <c r="O163" s="4">
        <v>342121</v>
      </c>
      <c r="P163" s="4">
        <v>3666</v>
      </c>
      <c r="Q163" s="4">
        <v>116321</v>
      </c>
      <c r="R163" s="4">
        <v>458443</v>
      </c>
      <c r="S163" s="5">
        <v>0.4</v>
      </c>
      <c r="T163" s="4">
        <v>183377</v>
      </c>
      <c r="U163" s="4">
        <v>641820</v>
      </c>
      <c r="V163" s="6">
        <f t="shared" si="4"/>
        <v>17329.140000000003</v>
      </c>
      <c r="W163" s="6">
        <f t="shared" si="5"/>
        <v>624490.86</v>
      </c>
    </row>
    <row r="164" spans="1:23" x14ac:dyDescent="0.3">
      <c r="A164" s="2" t="s">
        <v>21</v>
      </c>
      <c r="B164" s="2">
        <v>4.0339999999999998</v>
      </c>
      <c r="C164" s="2">
        <v>2000110869</v>
      </c>
      <c r="D164" s="2">
        <v>39.299999999999997</v>
      </c>
      <c r="E164" s="2"/>
      <c r="F164" s="2">
        <v>300</v>
      </c>
      <c r="G164" s="2">
        <v>600</v>
      </c>
      <c r="H164" s="2"/>
      <c r="I164" s="2"/>
      <c r="J164" s="3">
        <f>IF(A164="Upgrade",IF(OR(H164=4,H164=5),VLOOKUP(I164,'Renewal Rates'!$A$22:$B$27,2,FALSE),2.7%),IF(A164="Renewal",100%,0%))</f>
        <v>2.7000000000000003E-2</v>
      </c>
      <c r="K164" s="2" t="s">
        <v>22</v>
      </c>
      <c r="L164" s="2">
        <v>374</v>
      </c>
      <c r="M164" s="2" t="s">
        <v>23</v>
      </c>
      <c r="N164" s="2" t="s">
        <v>24</v>
      </c>
      <c r="O164" s="4">
        <v>142408</v>
      </c>
      <c r="P164" s="4">
        <v>3624</v>
      </c>
      <c r="Q164" s="4">
        <v>48419</v>
      </c>
      <c r="R164" s="4">
        <v>190826</v>
      </c>
      <c r="S164" s="5">
        <v>0.4</v>
      </c>
      <c r="T164" s="4">
        <v>76331</v>
      </c>
      <c r="U164" s="4">
        <v>267157</v>
      </c>
      <c r="V164" s="6">
        <f t="shared" si="4"/>
        <v>7213.2390000000005</v>
      </c>
      <c r="W164" s="6">
        <f t="shared" si="5"/>
        <v>259943.761</v>
      </c>
    </row>
    <row r="165" spans="1:23" x14ac:dyDescent="0.3">
      <c r="A165" s="2" t="s">
        <v>25</v>
      </c>
      <c r="B165" s="2">
        <v>5.0019999999999998</v>
      </c>
      <c r="C165" s="2"/>
      <c r="D165" s="2"/>
      <c r="E165" s="2">
        <v>43.5</v>
      </c>
      <c r="F165" s="2"/>
      <c r="G165" s="2">
        <v>375</v>
      </c>
      <c r="H165" s="2"/>
      <c r="I165" s="2"/>
      <c r="J165" s="3">
        <f>IF(A165="Upgrade",IF(OR(H165=4,H165=5),VLOOKUP(I165,'Renewal Rates'!$A$22:$B$27,2,FALSE),2.7%),IF(A165="Renewal",100%,0%))</f>
        <v>0</v>
      </c>
      <c r="K165" s="2" t="s">
        <v>22</v>
      </c>
      <c r="L165" s="2">
        <v>385</v>
      </c>
      <c r="M165" s="2" t="s">
        <v>23</v>
      </c>
      <c r="N165" s="2" t="s">
        <v>24</v>
      </c>
      <c r="O165" s="4">
        <v>108187</v>
      </c>
      <c r="P165" s="4">
        <v>2489</v>
      </c>
      <c r="Q165" s="4">
        <v>36784</v>
      </c>
      <c r="R165" s="4">
        <v>144971</v>
      </c>
      <c r="S165" s="5">
        <v>0.4</v>
      </c>
      <c r="T165" s="4">
        <v>57988</v>
      </c>
      <c r="U165" s="4">
        <v>202959</v>
      </c>
      <c r="V165" s="6">
        <f t="shared" si="4"/>
        <v>0</v>
      </c>
      <c r="W165" s="6">
        <f t="shared" si="5"/>
        <v>202959</v>
      </c>
    </row>
    <row r="166" spans="1:23" x14ac:dyDescent="0.3">
      <c r="A166" s="2" t="s">
        <v>21</v>
      </c>
      <c r="B166" s="2">
        <v>5.0049999999999999</v>
      </c>
      <c r="C166" s="2">
        <v>2000009858</v>
      </c>
      <c r="D166" s="2">
        <v>34.9</v>
      </c>
      <c r="E166" s="2"/>
      <c r="F166" s="2">
        <v>1500</v>
      </c>
      <c r="G166" s="2">
        <v>1800</v>
      </c>
      <c r="H166" s="2">
        <v>5</v>
      </c>
      <c r="I166" s="2">
        <v>2</v>
      </c>
      <c r="J166" s="3">
        <f>IF(A166="Upgrade",IF(OR(H166=4,H166=5),VLOOKUP(I166,'Renewal Rates'!$A$22:$B$27,2,FALSE),2.7%),IF(A166="Renewal",100%,0%))</f>
        <v>0</v>
      </c>
      <c r="K166" s="2" t="s">
        <v>22</v>
      </c>
      <c r="L166" s="2">
        <v>378</v>
      </c>
      <c r="M166" s="2" t="s">
        <v>23</v>
      </c>
      <c r="N166" s="2" t="s">
        <v>24</v>
      </c>
      <c r="O166" s="4">
        <v>380612</v>
      </c>
      <c r="P166" s="4">
        <v>10907</v>
      </c>
      <c r="Q166" s="4">
        <v>129408</v>
      </c>
      <c r="R166" s="4">
        <v>510021</v>
      </c>
      <c r="S166" s="5">
        <v>0.4</v>
      </c>
      <c r="T166" s="4">
        <v>204008</v>
      </c>
      <c r="U166" s="4">
        <v>714029</v>
      </c>
      <c r="V166" s="6">
        <f t="shared" si="4"/>
        <v>0</v>
      </c>
      <c r="W166" s="6">
        <f t="shared" si="5"/>
        <v>714029</v>
      </c>
    </row>
    <row r="167" spans="1:23" x14ac:dyDescent="0.3">
      <c r="A167" s="2" t="s">
        <v>21</v>
      </c>
      <c r="B167" s="2">
        <v>5.0049999999999999</v>
      </c>
      <c r="C167" s="2">
        <v>2000475294</v>
      </c>
      <c r="D167" s="2">
        <v>11.5</v>
      </c>
      <c r="E167" s="2"/>
      <c r="F167" s="2">
        <v>1500</v>
      </c>
      <c r="G167" s="2">
        <v>1800</v>
      </c>
      <c r="H167" s="2">
        <v>5</v>
      </c>
      <c r="I167" s="2">
        <v>2</v>
      </c>
      <c r="J167" s="3">
        <f>IF(A167="Upgrade",IF(OR(H167=4,H167=5),VLOOKUP(I167,'Renewal Rates'!$A$22:$B$27,2,FALSE),2.7%),IF(A167="Renewal",100%,0%))</f>
        <v>0</v>
      </c>
      <c r="K167" s="2" t="s">
        <v>22</v>
      </c>
      <c r="L167" s="2">
        <v>378</v>
      </c>
      <c r="M167" s="2" t="s">
        <v>23</v>
      </c>
      <c r="N167" s="2" t="s">
        <v>24</v>
      </c>
      <c r="O167" s="4">
        <v>133873</v>
      </c>
      <c r="P167" s="4">
        <v>11692</v>
      </c>
      <c r="Q167" s="4">
        <v>45517</v>
      </c>
      <c r="R167" s="4">
        <v>179390</v>
      </c>
      <c r="S167" s="5">
        <v>0.4</v>
      </c>
      <c r="T167" s="4">
        <v>71756</v>
      </c>
      <c r="U167" s="4">
        <v>251146</v>
      </c>
      <c r="V167" s="6">
        <f t="shared" si="4"/>
        <v>0</v>
      </c>
      <c r="W167" s="6">
        <f t="shared" si="5"/>
        <v>251146</v>
      </c>
    </row>
    <row r="168" spans="1:23" x14ac:dyDescent="0.3">
      <c r="A168" s="2" t="s">
        <v>21</v>
      </c>
      <c r="B168" s="2">
        <v>5.0049999999999999</v>
      </c>
      <c r="C168" s="2">
        <v>2000850039</v>
      </c>
      <c r="D168" s="2">
        <v>80.900000000000006</v>
      </c>
      <c r="E168" s="2"/>
      <c r="F168" s="2">
        <v>1500</v>
      </c>
      <c r="G168" s="2">
        <v>1800</v>
      </c>
      <c r="H168" s="2">
        <v>5</v>
      </c>
      <c r="I168" s="2">
        <v>3</v>
      </c>
      <c r="J168" s="3">
        <f>IF(A168="Upgrade",IF(OR(H168=4,H168=5),VLOOKUP(I168,'Renewal Rates'!$A$22:$B$27,2,FALSE),2.7%),IF(A168="Renewal",100%,0%))</f>
        <v>0.21</v>
      </c>
      <c r="K168" s="2" t="s">
        <v>22</v>
      </c>
      <c r="L168" s="2">
        <v>378</v>
      </c>
      <c r="M168" s="2" t="s">
        <v>23</v>
      </c>
      <c r="N168" s="2" t="s">
        <v>24</v>
      </c>
      <c r="O168" s="4">
        <v>842639</v>
      </c>
      <c r="P168" s="4">
        <v>10416</v>
      </c>
      <c r="Q168" s="4">
        <v>286497</v>
      </c>
      <c r="R168" s="4">
        <v>1129136</v>
      </c>
      <c r="S168" s="5">
        <v>0.4</v>
      </c>
      <c r="T168" s="4">
        <v>451654</v>
      </c>
      <c r="U168" s="4">
        <v>1580790</v>
      </c>
      <c r="V168" s="6">
        <f t="shared" si="4"/>
        <v>331965.89999999997</v>
      </c>
      <c r="W168" s="6">
        <f t="shared" si="5"/>
        <v>1248824.1000000001</v>
      </c>
    </row>
    <row r="169" spans="1:23" x14ac:dyDescent="0.3">
      <c r="A169" s="2" t="s">
        <v>21</v>
      </c>
      <c r="B169" s="2">
        <v>5.0049999999999999</v>
      </c>
      <c r="C169" s="2">
        <v>2000333419</v>
      </c>
      <c r="D169" s="2">
        <v>85</v>
      </c>
      <c r="E169" s="2"/>
      <c r="F169" s="2">
        <v>1500</v>
      </c>
      <c r="G169" s="2">
        <v>1800</v>
      </c>
      <c r="H169" s="2">
        <v>5</v>
      </c>
      <c r="I169" s="2">
        <v>2</v>
      </c>
      <c r="J169" s="3">
        <f>IF(A169="Upgrade",IF(OR(H169=4,H169=5),VLOOKUP(I169,'Renewal Rates'!$A$22:$B$27,2,FALSE),2.7%),IF(A169="Renewal",100%,0%))</f>
        <v>0</v>
      </c>
      <c r="K169" s="2" t="s">
        <v>22</v>
      </c>
      <c r="L169" s="2">
        <v>378</v>
      </c>
      <c r="M169" s="2" t="s">
        <v>23</v>
      </c>
      <c r="N169" s="2" t="s">
        <v>24</v>
      </c>
      <c r="O169" s="4">
        <v>880608</v>
      </c>
      <c r="P169" s="4">
        <v>10363</v>
      </c>
      <c r="Q169" s="4">
        <v>299407</v>
      </c>
      <c r="R169" s="4">
        <v>1180014</v>
      </c>
      <c r="S169" s="5">
        <v>0.4</v>
      </c>
      <c r="T169" s="4">
        <v>472006</v>
      </c>
      <c r="U169" s="4">
        <v>1652020</v>
      </c>
      <c r="V169" s="6">
        <f t="shared" si="4"/>
        <v>0</v>
      </c>
      <c r="W169" s="6">
        <f t="shared" si="5"/>
        <v>1652020</v>
      </c>
    </row>
    <row r="170" spans="1:23" x14ac:dyDescent="0.3">
      <c r="A170" s="2" t="s">
        <v>21</v>
      </c>
      <c r="B170" s="2">
        <v>5.0179999999999998</v>
      </c>
      <c r="C170" s="2">
        <v>2000261318</v>
      </c>
      <c r="D170" s="2">
        <v>128.1</v>
      </c>
      <c r="E170" s="2"/>
      <c r="F170" s="2">
        <v>1500</v>
      </c>
      <c r="G170" s="2">
        <v>1800</v>
      </c>
      <c r="H170" s="2">
        <v>5</v>
      </c>
      <c r="I170" s="2">
        <v>3</v>
      </c>
      <c r="J170" s="3">
        <f>IF(A170="Upgrade",IF(OR(H170=4,H170=5),VLOOKUP(I170,'Renewal Rates'!$A$22:$B$27,2,FALSE),2.7%),IF(A170="Renewal",100%,0%))</f>
        <v>0.21</v>
      </c>
      <c r="K170" s="2" t="s">
        <v>22</v>
      </c>
      <c r="L170" s="2">
        <v>378</v>
      </c>
      <c r="M170" s="2" t="s">
        <v>23</v>
      </c>
      <c r="N170" s="2" t="s">
        <v>24</v>
      </c>
      <c r="O170" s="4">
        <v>1309077</v>
      </c>
      <c r="P170" s="4">
        <v>10221</v>
      </c>
      <c r="Q170" s="4">
        <v>445086</v>
      </c>
      <c r="R170" s="4">
        <v>1754163</v>
      </c>
      <c r="S170" s="5">
        <v>0.4</v>
      </c>
      <c r="T170" s="4">
        <v>701665</v>
      </c>
      <c r="U170" s="4">
        <v>2455828</v>
      </c>
      <c r="V170" s="6">
        <f t="shared" si="4"/>
        <v>515723.88</v>
      </c>
      <c r="W170" s="6">
        <f t="shared" si="5"/>
        <v>1940104.12</v>
      </c>
    </row>
    <row r="171" spans="1:23" x14ac:dyDescent="0.3">
      <c r="A171" s="2" t="s">
        <v>21</v>
      </c>
      <c r="B171" s="2">
        <v>5.0179999999999998</v>
      </c>
      <c r="C171" s="2">
        <v>2000682349</v>
      </c>
      <c r="D171" s="2">
        <v>79.099999999999994</v>
      </c>
      <c r="E171" s="2"/>
      <c r="F171" s="2">
        <v>1600</v>
      </c>
      <c r="G171" s="2">
        <v>1800</v>
      </c>
      <c r="H171" s="2">
        <v>5</v>
      </c>
      <c r="I171" s="2">
        <v>1</v>
      </c>
      <c r="J171" s="3">
        <f>IF(A171="Upgrade",IF(OR(H171=4,H171=5),VLOOKUP(I171,'Renewal Rates'!$A$22:$B$27,2,FALSE),2.7%),IF(A171="Renewal",100%,0%))</f>
        <v>0</v>
      </c>
      <c r="K171" s="2" t="s">
        <v>22</v>
      </c>
      <c r="L171" s="2">
        <v>378</v>
      </c>
      <c r="M171" s="2" t="s">
        <v>23</v>
      </c>
      <c r="N171" s="2" t="s">
        <v>24</v>
      </c>
      <c r="O171" s="4">
        <v>813159</v>
      </c>
      <c r="P171" s="4">
        <v>10282</v>
      </c>
      <c r="Q171" s="4">
        <v>276474</v>
      </c>
      <c r="R171" s="4">
        <v>1089634</v>
      </c>
      <c r="S171" s="5">
        <v>0.4</v>
      </c>
      <c r="T171" s="4">
        <v>435853</v>
      </c>
      <c r="U171" s="4">
        <v>1525487</v>
      </c>
      <c r="V171" s="6">
        <f t="shared" si="4"/>
        <v>0</v>
      </c>
      <c r="W171" s="6">
        <f t="shared" si="5"/>
        <v>1525487</v>
      </c>
    </row>
    <row r="172" spans="1:23" x14ac:dyDescent="0.3">
      <c r="A172" s="2" t="s">
        <v>21</v>
      </c>
      <c r="B172" s="2">
        <v>5.0039999999999996</v>
      </c>
      <c r="C172" s="2">
        <v>2000174187</v>
      </c>
      <c r="D172" s="2">
        <v>16</v>
      </c>
      <c r="E172" s="2"/>
      <c r="F172" s="2">
        <v>900</v>
      </c>
      <c r="G172" s="2">
        <v>1800</v>
      </c>
      <c r="H172" s="2">
        <v>4</v>
      </c>
      <c r="I172" s="2">
        <v>1</v>
      </c>
      <c r="J172" s="3">
        <f>IF(A172="Upgrade",IF(OR(H172=4,H172=5),VLOOKUP(I172,'Renewal Rates'!$A$22:$B$27,2,FALSE),2.7%),IF(A172="Renewal",100%,0%))</f>
        <v>0</v>
      </c>
      <c r="K172" s="2" t="s">
        <v>22</v>
      </c>
      <c r="L172" s="2">
        <v>378</v>
      </c>
      <c r="M172" s="2" t="s">
        <v>23</v>
      </c>
      <c r="N172" s="2" t="s">
        <v>24</v>
      </c>
      <c r="O172" s="4">
        <v>173740</v>
      </c>
      <c r="P172" s="4">
        <v>10838</v>
      </c>
      <c r="Q172" s="4">
        <v>59072</v>
      </c>
      <c r="R172" s="4">
        <v>232812</v>
      </c>
      <c r="S172" s="5">
        <v>0.4</v>
      </c>
      <c r="T172" s="4">
        <v>93125</v>
      </c>
      <c r="U172" s="4">
        <v>325937</v>
      </c>
      <c r="V172" s="6">
        <f t="shared" si="4"/>
        <v>0</v>
      </c>
      <c r="W172" s="6">
        <f t="shared" si="5"/>
        <v>325937</v>
      </c>
    </row>
    <row r="173" spans="1:23" x14ac:dyDescent="0.3">
      <c r="A173" s="2" t="s">
        <v>21</v>
      </c>
      <c r="B173" s="2">
        <v>5.0039999999999996</v>
      </c>
      <c r="C173" s="2">
        <v>2000083467</v>
      </c>
      <c r="D173" s="2">
        <v>88.6</v>
      </c>
      <c r="E173" s="2"/>
      <c r="F173" s="2">
        <v>900</v>
      </c>
      <c r="G173" s="2">
        <v>1800</v>
      </c>
      <c r="H173" s="2">
        <v>4</v>
      </c>
      <c r="I173" s="2">
        <v>2</v>
      </c>
      <c r="J173" s="3">
        <f>IF(A173="Upgrade",IF(OR(H173=4,H173=5),VLOOKUP(I173,'Renewal Rates'!$A$22:$B$27,2,FALSE),2.7%),IF(A173="Renewal",100%,0%))</f>
        <v>0</v>
      </c>
      <c r="K173" s="2" t="s">
        <v>22</v>
      </c>
      <c r="L173" s="2">
        <v>378</v>
      </c>
      <c r="M173" s="2" t="s">
        <v>23</v>
      </c>
      <c r="N173" s="2" t="s">
        <v>24</v>
      </c>
      <c r="O173" s="4">
        <v>917001</v>
      </c>
      <c r="P173" s="4">
        <v>10347</v>
      </c>
      <c r="Q173" s="4">
        <v>311781</v>
      </c>
      <c r="R173" s="4">
        <v>1228782</v>
      </c>
      <c r="S173" s="5">
        <v>0.4</v>
      </c>
      <c r="T173" s="4">
        <v>491513</v>
      </c>
      <c r="U173" s="4">
        <v>1720295</v>
      </c>
      <c r="V173" s="6">
        <f t="shared" si="4"/>
        <v>0</v>
      </c>
      <c r="W173" s="6">
        <f t="shared" si="5"/>
        <v>1720295</v>
      </c>
    </row>
    <row r="174" spans="1:23" x14ac:dyDescent="0.3">
      <c r="A174" s="2" t="s">
        <v>21</v>
      </c>
      <c r="B174" s="2">
        <v>5.0039999999999996</v>
      </c>
      <c r="C174" s="2">
        <v>2000937601</v>
      </c>
      <c r="D174" s="2">
        <v>32.299999999999997</v>
      </c>
      <c r="E174" s="2"/>
      <c r="F174" s="2">
        <v>900</v>
      </c>
      <c r="G174" s="2">
        <v>1800</v>
      </c>
      <c r="H174" s="2">
        <v>4</v>
      </c>
      <c r="I174" s="2">
        <v>1</v>
      </c>
      <c r="J174" s="3">
        <f>IF(A174="Upgrade",IF(OR(H174=4,H174=5),VLOOKUP(I174,'Renewal Rates'!$A$22:$B$27,2,FALSE),2.7%),IF(A174="Renewal",100%,0%))</f>
        <v>0</v>
      </c>
      <c r="K174" s="2" t="s">
        <v>22</v>
      </c>
      <c r="L174" s="2">
        <v>378</v>
      </c>
      <c r="M174" s="2" t="s">
        <v>23</v>
      </c>
      <c r="N174" s="2" t="s">
        <v>24</v>
      </c>
      <c r="O174" s="4">
        <v>348050</v>
      </c>
      <c r="P174" s="4">
        <v>10788</v>
      </c>
      <c r="Q174" s="4">
        <v>118337</v>
      </c>
      <c r="R174" s="4">
        <v>466387</v>
      </c>
      <c r="S174" s="5">
        <v>0.4</v>
      </c>
      <c r="T174" s="4">
        <v>186555</v>
      </c>
      <c r="U174" s="4">
        <v>652941</v>
      </c>
      <c r="V174" s="6">
        <f t="shared" si="4"/>
        <v>0</v>
      </c>
      <c r="W174" s="6">
        <f t="shared" si="5"/>
        <v>652941</v>
      </c>
    </row>
    <row r="175" spans="1:23" x14ac:dyDescent="0.3">
      <c r="A175" s="2" t="s">
        <v>21</v>
      </c>
      <c r="B175" s="2">
        <v>5.0039999999999996</v>
      </c>
      <c r="C175" s="2">
        <v>2000485570</v>
      </c>
      <c r="D175" s="2">
        <v>83.1</v>
      </c>
      <c r="E175" s="2"/>
      <c r="F175" s="2">
        <v>1500</v>
      </c>
      <c r="G175" s="2">
        <v>1800</v>
      </c>
      <c r="H175" s="2">
        <v>5</v>
      </c>
      <c r="I175" s="2">
        <v>3</v>
      </c>
      <c r="J175" s="3">
        <f>IF(A175="Upgrade",IF(OR(H175=4,H175=5),VLOOKUP(I175,'Renewal Rates'!$A$22:$B$27,2,FALSE),2.7%),IF(A175="Renewal",100%,0%))</f>
        <v>0.21</v>
      </c>
      <c r="K175" s="2" t="s">
        <v>22</v>
      </c>
      <c r="L175" s="2">
        <v>378</v>
      </c>
      <c r="M175" s="2" t="s">
        <v>23</v>
      </c>
      <c r="N175" s="2" t="s">
        <v>24</v>
      </c>
      <c r="O175" s="4">
        <v>850763</v>
      </c>
      <c r="P175" s="4">
        <v>10242</v>
      </c>
      <c r="Q175" s="4">
        <v>289259</v>
      </c>
      <c r="R175" s="4">
        <v>1140022</v>
      </c>
      <c r="S175" s="5">
        <v>0.4</v>
      </c>
      <c r="T175" s="4">
        <v>456009</v>
      </c>
      <c r="U175" s="4">
        <v>1596031</v>
      </c>
      <c r="V175" s="6">
        <f t="shared" si="4"/>
        <v>335166.51</v>
      </c>
      <c r="W175" s="6">
        <f t="shared" si="5"/>
        <v>1260864.49</v>
      </c>
    </row>
    <row r="176" spans="1:23" x14ac:dyDescent="0.3">
      <c r="A176" s="2" t="s">
        <v>21</v>
      </c>
      <c r="B176" s="2">
        <v>5.0030000000000001</v>
      </c>
      <c r="C176" s="2">
        <v>2000542364</v>
      </c>
      <c r="D176" s="2">
        <v>39.5</v>
      </c>
      <c r="E176" s="2"/>
      <c r="F176" s="2">
        <v>1500</v>
      </c>
      <c r="G176" s="2">
        <v>1800</v>
      </c>
      <c r="H176" s="2">
        <v>5</v>
      </c>
      <c r="I176" s="2">
        <v>2</v>
      </c>
      <c r="J176" s="3">
        <f>IF(A176="Upgrade",IF(OR(H176=4,H176=5),VLOOKUP(I176,'Renewal Rates'!$A$22:$B$27,2,FALSE),2.7%),IF(A176="Renewal",100%,0%))</f>
        <v>0</v>
      </c>
      <c r="K176" s="2" t="s">
        <v>22</v>
      </c>
      <c r="L176" s="2">
        <v>378</v>
      </c>
      <c r="M176" s="2" t="s">
        <v>23</v>
      </c>
      <c r="N176" s="2" t="s">
        <v>24</v>
      </c>
      <c r="O176" s="4">
        <v>420684</v>
      </c>
      <c r="P176" s="4">
        <v>10642</v>
      </c>
      <c r="Q176" s="4">
        <v>143033</v>
      </c>
      <c r="R176" s="4">
        <v>563716</v>
      </c>
      <c r="S176" s="5">
        <v>0.4</v>
      </c>
      <c r="T176" s="4">
        <v>225487</v>
      </c>
      <c r="U176" s="4">
        <v>789203</v>
      </c>
      <c r="V176" s="6">
        <f t="shared" si="4"/>
        <v>0</v>
      </c>
      <c r="W176" s="6">
        <f t="shared" si="5"/>
        <v>789203</v>
      </c>
    </row>
    <row r="177" spans="1:23" x14ac:dyDescent="0.3">
      <c r="A177" s="2" t="s">
        <v>21</v>
      </c>
      <c r="B177" s="2">
        <v>5.0030000000000001</v>
      </c>
      <c r="C177" s="2">
        <v>2000591589</v>
      </c>
      <c r="D177" s="2">
        <v>69.2</v>
      </c>
      <c r="E177" s="2"/>
      <c r="F177" s="2">
        <v>1500</v>
      </c>
      <c r="G177" s="2">
        <v>1800</v>
      </c>
      <c r="H177" s="2">
        <v>5</v>
      </c>
      <c r="I177" s="2">
        <v>2</v>
      </c>
      <c r="J177" s="3">
        <f>IF(A177="Upgrade",IF(OR(H177=4,H177=5),VLOOKUP(I177,'Renewal Rates'!$A$22:$B$27,2,FALSE),2.7%),IF(A177="Renewal",100%,0%))</f>
        <v>0</v>
      </c>
      <c r="K177" s="2" t="s">
        <v>22</v>
      </c>
      <c r="L177" s="2">
        <v>378</v>
      </c>
      <c r="M177" s="2" t="s">
        <v>23</v>
      </c>
      <c r="N177" s="2" t="s">
        <v>24</v>
      </c>
      <c r="O177" s="4">
        <v>708171</v>
      </c>
      <c r="P177" s="4">
        <v>10228</v>
      </c>
      <c r="Q177" s="4">
        <v>240778</v>
      </c>
      <c r="R177" s="4">
        <v>948950</v>
      </c>
      <c r="S177" s="5">
        <v>0.4</v>
      </c>
      <c r="T177" s="4">
        <v>379580</v>
      </c>
      <c r="U177" s="4">
        <v>1328530</v>
      </c>
      <c r="V177" s="6">
        <f t="shared" si="4"/>
        <v>0</v>
      </c>
      <c r="W177" s="6">
        <f t="shared" si="5"/>
        <v>1328530</v>
      </c>
    </row>
    <row r="178" spans="1:23" x14ac:dyDescent="0.3">
      <c r="A178" s="2" t="s">
        <v>21</v>
      </c>
      <c r="B178" s="2">
        <v>5.0030000000000001</v>
      </c>
      <c r="C178" s="2">
        <v>2000779415</v>
      </c>
      <c r="D178" s="2">
        <v>122.3</v>
      </c>
      <c r="E178" s="2"/>
      <c r="F178" s="2">
        <v>1350</v>
      </c>
      <c r="G178" s="2">
        <v>1800</v>
      </c>
      <c r="H178" s="2">
        <v>5</v>
      </c>
      <c r="I178" s="2">
        <v>1</v>
      </c>
      <c r="J178" s="3">
        <f>IF(A178="Upgrade",IF(OR(H178=4,H178=5),VLOOKUP(I178,'Renewal Rates'!$A$22:$B$27,2,FALSE),2.7%),IF(A178="Renewal",100%,0%))</f>
        <v>0</v>
      </c>
      <c r="K178" s="2" t="s">
        <v>22</v>
      </c>
      <c r="L178" s="2">
        <v>378</v>
      </c>
      <c r="M178" s="2" t="s">
        <v>23</v>
      </c>
      <c r="N178" s="2" t="s">
        <v>24</v>
      </c>
      <c r="O178" s="4">
        <v>1264790</v>
      </c>
      <c r="P178" s="4">
        <v>10340</v>
      </c>
      <c r="Q178" s="4">
        <v>430029</v>
      </c>
      <c r="R178" s="4">
        <v>1694818</v>
      </c>
      <c r="S178" s="5">
        <v>0.4</v>
      </c>
      <c r="T178" s="4">
        <v>677927</v>
      </c>
      <c r="U178" s="4">
        <v>2372746</v>
      </c>
      <c r="V178" s="6">
        <f t="shared" si="4"/>
        <v>0</v>
      </c>
      <c r="W178" s="6">
        <f t="shared" si="5"/>
        <v>2372746</v>
      </c>
    </row>
    <row r="179" spans="1:23" x14ac:dyDescent="0.3">
      <c r="A179" s="2" t="s">
        <v>21</v>
      </c>
      <c r="B179" s="2">
        <v>5.0090000000000003</v>
      </c>
      <c r="C179" s="2">
        <v>2000084927</v>
      </c>
      <c r="D179" s="2">
        <v>78</v>
      </c>
      <c r="E179" s="2"/>
      <c r="F179" s="2">
        <v>750</v>
      </c>
      <c r="G179" s="2">
        <v>1125</v>
      </c>
      <c r="H179" s="2"/>
      <c r="I179" s="2"/>
      <c r="J179" s="3">
        <f>IF(A179="Upgrade",IF(OR(H179=4,H179=5),VLOOKUP(I179,'Renewal Rates'!$A$22:$B$27,2,FALSE),2.7%),IF(A179="Renewal",100%,0%))</f>
        <v>2.7000000000000003E-2</v>
      </c>
      <c r="K179" s="2" t="s">
        <v>22</v>
      </c>
      <c r="L179" s="2">
        <v>378</v>
      </c>
      <c r="M179" s="2" t="s">
        <v>23</v>
      </c>
      <c r="N179" s="2" t="s">
        <v>24</v>
      </c>
      <c r="O179" s="4">
        <v>546903</v>
      </c>
      <c r="P179" s="4">
        <v>7014</v>
      </c>
      <c r="Q179" s="4">
        <v>185947</v>
      </c>
      <c r="R179" s="4">
        <v>732850</v>
      </c>
      <c r="S179" s="5">
        <v>0.4</v>
      </c>
      <c r="T179" s="4">
        <v>293140</v>
      </c>
      <c r="U179" s="4">
        <v>1025990</v>
      </c>
      <c r="V179" s="6">
        <f t="shared" si="4"/>
        <v>27701.730000000003</v>
      </c>
      <c r="W179" s="6">
        <f t="shared" si="5"/>
        <v>998288.27</v>
      </c>
    </row>
    <row r="180" spans="1:23" x14ac:dyDescent="0.3">
      <c r="A180" s="2" t="s">
        <v>21</v>
      </c>
      <c r="B180" s="2">
        <v>5.0090000000000003</v>
      </c>
      <c r="C180" s="2">
        <v>2000103774</v>
      </c>
      <c r="D180" s="2">
        <v>108</v>
      </c>
      <c r="E180" s="2"/>
      <c r="F180" s="2">
        <v>750</v>
      </c>
      <c r="G180" s="2">
        <v>1125</v>
      </c>
      <c r="H180" s="2">
        <v>5</v>
      </c>
      <c r="I180" s="2">
        <v>2</v>
      </c>
      <c r="J180" s="3">
        <f>IF(A180="Upgrade",IF(OR(H180=4,H180=5),VLOOKUP(I180,'Renewal Rates'!$A$22:$B$27,2,FALSE),2.7%),IF(A180="Renewal",100%,0%))</f>
        <v>0</v>
      </c>
      <c r="K180" s="2" t="s">
        <v>22</v>
      </c>
      <c r="L180" s="2">
        <v>378</v>
      </c>
      <c r="M180" s="2" t="s">
        <v>23</v>
      </c>
      <c r="N180" s="2" t="s">
        <v>24</v>
      </c>
      <c r="O180" s="4">
        <v>763986</v>
      </c>
      <c r="P180" s="4">
        <v>7071</v>
      </c>
      <c r="Q180" s="4">
        <v>259755</v>
      </c>
      <c r="R180" s="4">
        <v>1023742</v>
      </c>
      <c r="S180" s="5">
        <v>0.4</v>
      </c>
      <c r="T180" s="4">
        <v>409497</v>
      </c>
      <c r="U180" s="4">
        <v>1433238</v>
      </c>
      <c r="V180" s="6">
        <f t="shared" si="4"/>
        <v>0</v>
      </c>
      <c r="W180" s="6">
        <f t="shared" si="5"/>
        <v>1433238</v>
      </c>
    </row>
    <row r="181" spans="1:23" x14ac:dyDescent="0.3">
      <c r="A181" s="2" t="s">
        <v>21</v>
      </c>
      <c r="B181" s="2">
        <v>5.0069999999999997</v>
      </c>
      <c r="C181" s="2">
        <v>2000596437</v>
      </c>
      <c r="D181" s="2">
        <v>35.6</v>
      </c>
      <c r="E181" s="2"/>
      <c r="F181" s="2">
        <v>600</v>
      </c>
      <c r="G181" s="2">
        <v>1125</v>
      </c>
      <c r="H181" s="2"/>
      <c r="I181" s="2"/>
      <c r="J181" s="3">
        <f>IF(A181="Upgrade",IF(OR(H181=4,H181=5),VLOOKUP(I181,'Renewal Rates'!$A$22:$B$27,2,FALSE),2.7%),IF(A181="Renewal",100%,0%))</f>
        <v>2.7000000000000003E-2</v>
      </c>
      <c r="K181" s="2" t="s">
        <v>22</v>
      </c>
      <c r="L181" s="2">
        <v>378</v>
      </c>
      <c r="M181" s="2" t="s">
        <v>23</v>
      </c>
      <c r="N181" s="2" t="s">
        <v>24</v>
      </c>
      <c r="O181" s="4">
        <v>257578</v>
      </c>
      <c r="P181" s="4">
        <v>7228</v>
      </c>
      <c r="Q181" s="4">
        <v>87577</v>
      </c>
      <c r="R181" s="4">
        <v>345155</v>
      </c>
      <c r="S181" s="5">
        <v>0.4</v>
      </c>
      <c r="T181" s="4">
        <v>138062</v>
      </c>
      <c r="U181" s="4">
        <v>483217</v>
      </c>
      <c r="V181" s="6">
        <f t="shared" si="4"/>
        <v>13046.859000000002</v>
      </c>
      <c r="W181" s="6">
        <f t="shared" si="5"/>
        <v>470170.141</v>
      </c>
    </row>
    <row r="182" spans="1:23" x14ac:dyDescent="0.3">
      <c r="A182" s="2" t="s">
        <v>21</v>
      </c>
      <c r="B182" s="2">
        <v>5.0069999999999997</v>
      </c>
      <c r="C182" s="2">
        <v>2000014982</v>
      </c>
      <c r="D182" s="2">
        <v>36</v>
      </c>
      <c r="E182" s="2"/>
      <c r="F182" s="2">
        <v>300</v>
      </c>
      <c r="G182" s="2">
        <v>1125</v>
      </c>
      <c r="H182" s="2"/>
      <c r="I182" s="2"/>
      <c r="J182" s="3">
        <f>IF(A182="Upgrade",IF(OR(H182=4,H182=5),VLOOKUP(I182,'Renewal Rates'!$A$22:$B$27,2,FALSE),2.7%),IF(A182="Renewal",100%,0%))</f>
        <v>2.7000000000000003E-2</v>
      </c>
      <c r="K182" s="2" t="s">
        <v>22</v>
      </c>
      <c r="L182" s="2">
        <v>378</v>
      </c>
      <c r="M182" s="2" t="s">
        <v>23</v>
      </c>
      <c r="N182" s="2" t="s">
        <v>24</v>
      </c>
      <c r="O182" s="4">
        <v>258340</v>
      </c>
      <c r="P182" s="4">
        <v>7179</v>
      </c>
      <c r="Q182" s="4">
        <v>87836</v>
      </c>
      <c r="R182" s="4">
        <v>346175</v>
      </c>
      <c r="S182" s="5">
        <v>0.4</v>
      </c>
      <c r="T182" s="4">
        <v>138470</v>
      </c>
      <c r="U182" s="4">
        <v>484645</v>
      </c>
      <c r="V182" s="6">
        <f t="shared" si="4"/>
        <v>13085.415000000001</v>
      </c>
      <c r="W182" s="6">
        <f t="shared" si="5"/>
        <v>471559.58500000002</v>
      </c>
    </row>
    <row r="183" spans="1:23" x14ac:dyDescent="0.3">
      <c r="A183" s="2" t="s">
        <v>21</v>
      </c>
      <c r="B183" s="2">
        <v>5.0069999999999997</v>
      </c>
      <c r="C183" s="2">
        <v>2000648493</v>
      </c>
      <c r="D183" s="2">
        <v>12.1</v>
      </c>
      <c r="E183" s="2"/>
      <c r="F183" s="2">
        <v>300</v>
      </c>
      <c r="G183" s="2">
        <v>1125</v>
      </c>
      <c r="H183" s="2"/>
      <c r="I183" s="2"/>
      <c r="J183" s="3">
        <f>IF(A183="Upgrade",IF(OR(H183=4,H183=5),VLOOKUP(I183,'Renewal Rates'!$A$22:$B$27,2,FALSE),2.7%),IF(A183="Renewal",100%,0%))</f>
        <v>2.7000000000000003E-2</v>
      </c>
      <c r="K183" s="2" t="s">
        <v>22</v>
      </c>
      <c r="L183" s="2">
        <v>378</v>
      </c>
      <c r="M183" s="2" t="s">
        <v>23</v>
      </c>
      <c r="N183" s="2" t="s">
        <v>24</v>
      </c>
      <c r="O183" s="4">
        <v>115290</v>
      </c>
      <c r="P183" s="4">
        <v>9518</v>
      </c>
      <c r="Q183" s="4">
        <v>39198</v>
      </c>
      <c r="R183" s="4">
        <v>154488</v>
      </c>
      <c r="S183" s="5">
        <v>0.4</v>
      </c>
      <c r="T183" s="4">
        <v>61795</v>
      </c>
      <c r="U183" s="4">
        <v>216283</v>
      </c>
      <c r="V183" s="6">
        <f t="shared" si="4"/>
        <v>5839.6410000000005</v>
      </c>
      <c r="W183" s="6">
        <f t="shared" si="5"/>
        <v>210443.359</v>
      </c>
    </row>
    <row r="184" spans="1:23" x14ac:dyDescent="0.3">
      <c r="A184" s="2" t="s">
        <v>21</v>
      </c>
      <c r="B184" s="2">
        <v>5.0060000000000002</v>
      </c>
      <c r="C184" s="2">
        <v>2000174969</v>
      </c>
      <c r="D184" s="2">
        <v>9.8000000000000007</v>
      </c>
      <c r="E184" s="2"/>
      <c r="F184" s="2">
        <v>300</v>
      </c>
      <c r="G184" s="2">
        <v>1050</v>
      </c>
      <c r="H184" s="2"/>
      <c r="I184" s="2"/>
      <c r="J184" s="3">
        <f>IF(A184="Upgrade",IF(OR(H184=4,H184=5),VLOOKUP(I184,'Renewal Rates'!$A$22:$B$27,2,FALSE),2.7%),IF(A184="Renewal",100%,0%))</f>
        <v>2.7000000000000003E-2</v>
      </c>
      <c r="K184" s="2" t="s">
        <v>22</v>
      </c>
      <c r="L184" s="2">
        <v>378</v>
      </c>
      <c r="M184" s="2" t="s">
        <v>23</v>
      </c>
      <c r="N184" s="2" t="s">
        <v>24</v>
      </c>
      <c r="O184" s="4">
        <v>148112</v>
      </c>
      <c r="P184" s="4">
        <v>15058</v>
      </c>
      <c r="Q184" s="4">
        <v>50358</v>
      </c>
      <c r="R184" s="4">
        <v>198471</v>
      </c>
      <c r="S184" s="5">
        <v>0.4</v>
      </c>
      <c r="T184" s="4">
        <v>79388</v>
      </c>
      <c r="U184" s="4">
        <v>277859</v>
      </c>
      <c r="V184" s="6">
        <f t="shared" si="4"/>
        <v>7502.1930000000011</v>
      </c>
      <c r="W184" s="6">
        <f t="shared" si="5"/>
        <v>270356.80699999997</v>
      </c>
    </row>
    <row r="185" spans="1:23" x14ac:dyDescent="0.3">
      <c r="A185" s="2" t="s">
        <v>21</v>
      </c>
      <c r="B185" s="2">
        <v>5.0060000000000002</v>
      </c>
      <c r="C185" s="2">
        <v>2000678021</v>
      </c>
      <c r="D185" s="2">
        <v>15</v>
      </c>
      <c r="E185" s="2"/>
      <c r="F185" s="2">
        <v>300</v>
      </c>
      <c r="G185" s="2">
        <v>1050</v>
      </c>
      <c r="H185" s="2"/>
      <c r="I185" s="2"/>
      <c r="J185" s="3">
        <f>IF(A185="Upgrade",IF(OR(H185=4,H185=5),VLOOKUP(I185,'Renewal Rates'!$A$22:$B$27,2,FALSE),2.7%),IF(A185="Renewal",100%,0%))</f>
        <v>2.7000000000000003E-2</v>
      </c>
      <c r="K185" s="2" t="s">
        <v>22</v>
      </c>
      <c r="L185" s="2">
        <v>378</v>
      </c>
      <c r="M185" s="2" t="s">
        <v>23</v>
      </c>
      <c r="N185" s="2" t="s">
        <v>24</v>
      </c>
      <c r="O185" s="4">
        <v>142222</v>
      </c>
      <c r="P185" s="4">
        <v>9488</v>
      </c>
      <c r="Q185" s="4">
        <v>48356</v>
      </c>
      <c r="R185" s="4">
        <v>190578</v>
      </c>
      <c r="S185" s="5">
        <v>0.4</v>
      </c>
      <c r="T185" s="4">
        <v>76231</v>
      </c>
      <c r="U185" s="4">
        <v>266809</v>
      </c>
      <c r="V185" s="6">
        <f t="shared" si="4"/>
        <v>7203.8430000000008</v>
      </c>
      <c r="W185" s="6">
        <f t="shared" si="5"/>
        <v>259605.15700000001</v>
      </c>
    </row>
    <row r="186" spans="1:23" x14ac:dyDescent="0.3">
      <c r="A186" s="2" t="s">
        <v>21</v>
      </c>
      <c r="B186" s="2">
        <v>5.0060000000000002</v>
      </c>
      <c r="C186" s="2">
        <v>2000097501</v>
      </c>
      <c r="D186" s="2">
        <v>33.299999999999997</v>
      </c>
      <c r="E186" s="2"/>
      <c r="F186" s="2">
        <v>300</v>
      </c>
      <c r="G186" s="2">
        <v>1050</v>
      </c>
      <c r="H186" s="2"/>
      <c r="I186" s="2"/>
      <c r="J186" s="3">
        <f>IF(A186="Upgrade",IF(OR(H186=4,H186=5),VLOOKUP(I186,'Renewal Rates'!$A$22:$B$27,2,FALSE),2.7%),IF(A186="Renewal",100%,0%))</f>
        <v>2.7000000000000003E-2</v>
      </c>
      <c r="K186" s="2" t="s">
        <v>22</v>
      </c>
      <c r="L186" s="2">
        <v>378</v>
      </c>
      <c r="M186" s="2" t="s">
        <v>23</v>
      </c>
      <c r="N186" s="2" t="s">
        <v>24</v>
      </c>
      <c r="O186" s="4">
        <v>224666</v>
      </c>
      <c r="P186" s="4">
        <v>6743</v>
      </c>
      <c r="Q186" s="4">
        <v>76387</v>
      </c>
      <c r="R186" s="4">
        <v>301053</v>
      </c>
      <c r="S186" s="5">
        <v>0.4</v>
      </c>
      <c r="T186" s="4">
        <v>120421</v>
      </c>
      <c r="U186" s="4">
        <v>421474</v>
      </c>
      <c r="V186" s="6">
        <f t="shared" si="4"/>
        <v>11379.798000000001</v>
      </c>
      <c r="W186" s="6">
        <f t="shared" si="5"/>
        <v>410094.20199999999</v>
      </c>
    </row>
    <row r="187" spans="1:23" x14ac:dyDescent="0.3">
      <c r="A187" s="2" t="s">
        <v>21</v>
      </c>
      <c r="B187" s="2">
        <v>5.0060000000000002</v>
      </c>
      <c r="C187" s="2">
        <v>2000756015</v>
      </c>
      <c r="D187" s="2">
        <v>34.200000000000003</v>
      </c>
      <c r="E187" s="2"/>
      <c r="F187" s="2">
        <v>225</v>
      </c>
      <c r="G187" s="2">
        <v>1050</v>
      </c>
      <c r="H187" s="2"/>
      <c r="I187" s="2"/>
      <c r="J187" s="3">
        <f>IF(A187="Upgrade",IF(OR(H187=4,H187=5),VLOOKUP(I187,'Renewal Rates'!$A$22:$B$27,2,FALSE),2.7%),IF(A187="Renewal",100%,0%))</f>
        <v>2.7000000000000003E-2</v>
      </c>
      <c r="K187" s="2" t="s">
        <v>22</v>
      </c>
      <c r="L187" s="2">
        <v>378</v>
      </c>
      <c r="M187" s="2" t="s">
        <v>23</v>
      </c>
      <c r="N187" s="2" t="s">
        <v>24</v>
      </c>
      <c r="O187" s="4">
        <v>249202</v>
      </c>
      <c r="P187" s="4">
        <v>7280</v>
      </c>
      <c r="Q187" s="4">
        <v>84729</v>
      </c>
      <c r="R187" s="4">
        <v>333931</v>
      </c>
      <c r="S187" s="5">
        <v>0.4</v>
      </c>
      <c r="T187" s="4">
        <v>133572</v>
      </c>
      <c r="U187" s="4">
        <v>467503</v>
      </c>
      <c r="V187" s="6">
        <f t="shared" si="4"/>
        <v>12622.581000000002</v>
      </c>
      <c r="W187" s="6">
        <f t="shared" si="5"/>
        <v>454880.41899999999</v>
      </c>
    </row>
    <row r="188" spans="1:23" x14ac:dyDescent="0.3">
      <c r="A188" s="2" t="s">
        <v>21</v>
      </c>
      <c r="B188" s="2">
        <v>5.0060000000000002</v>
      </c>
      <c r="C188" s="2">
        <v>2000400336</v>
      </c>
      <c r="D188" s="2">
        <v>44.9</v>
      </c>
      <c r="E188" s="2"/>
      <c r="F188" s="2">
        <v>225</v>
      </c>
      <c r="G188" s="2">
        <v>1050</v>
      </c>
      <c r="H188" s="2"/>
      <c r="I188" s="2"/>
      <c r="J188" s="3">
        <f>IF(A188="Upgrade",IF(OR(H188=4,H188=5),VLOOKUP(I188,'Renewal Rates'!$A$22:$B$27,2,FALSE),2.7%),IF(A188="Renewal",100%,0%))</f>
        <v>2.7000000000000003E-2</v>
      </c>
      <c r="K188" s="2" t="s">
        <v>22</v>
      </c>
      <c r="L188" s="2">
        <v>378</v>
      </c>
      <c r="M188" s="2" t="s">
        <v>23</v>
      </c>
      <c r="N188" s="2" t="s">
        <v>24</v>
      </c>
      <c r="O188" s="4">
        <v>293533</v>
      </c>
      <c r="P188" s="4">
        <v>6533</v>
      </c>
      <c r="Q188" s="4">
        <v>99801</v>
      </c>
      <c r="R188" s="4">
        <v>393334</v>
      </c>
      <c r="S188" s="5">
        <v>0.4</v>
      </c>
      <c r="T188" s="4">
        <v>157334</v>
      </c>
      <c r="U188" s="4">
        <v>550667</v>
      </c>
      <c r="V188" s="6">
        <f t="shared" si="4"/>
        <v>14868.009000000002</v>
      </c>
      <c r="W188" s="6">
        <f t="shared" si="5"/>
        <v>535798.99100000004</v>
      </c>
    </row>
    <row r="189" spans="1:23" x14ac:dyDescent="0.3">
      <c r="A189" s="2" t="s">
        <v>21</v>
      </c>
      <c r="B189" s="2">
        <v>5.0060000000000002</v>
      </c>
      <c r="C189" s="2">
        <v>2000218988</v>
      </c>
      <c r="D189" s="2">
        <v>44.4</v>
      </c>
      <c r="E189" s="2"/>
      <c r="F189" s="2">
        <v>225</v>
      </c>
      <c r="G189" s="2">
        <v>1050</v>
      </c>
      <c r="H189" s="2"/>
      <c r="I189" s="2"/>
      <c r="J189" s="3">
        <f>IF(A189="Upgrade",IF(OR(H189=4,H189=5),VLOOKUP(I189,'Renewal Rates'!$A$22:$B$27,2,FALSE),2.7%),IF(A189="Renewal",100%,0%))</f>
        <v>2.7000000000000003E-2</v>
      </c>
      <c r="K189" s="2" t="s">
        <v>22</v>
      </c>
      <c r="L189" s="2">
        <v>378</v>
      </c>
      <c r="M189" s="2" t="s">
        <v>23</v>
      </c>
      <c r="N189" s="2" t="s">
        <v>24</v>
      </c>
      <c r="O189" s="4">
        <v>292395</v>
      </c>
      <c r="P189" s="4">
        <v>6590</v>
      </c>
      <c r="Q189" s="4">
        <v>99414</v>
      </c>
      <c r="R189" s="4">
        <v>391809</v>
      </c>
      <c r="S189" s="5">
        <v>0.4</v>
      </c>
      <c r="T189" s="4">
        <v>156724</v>
      </c>
      <c r="U189" s="4">
        <v>548533</v>
      </c>
      <c r="V189" s="6">
        <f t="shared" si="4"/>
        <v>14810.391000000001</v>
      </c>
      <c r="W189" s="6">
        <f t="shared" si="5"/>
        <v>533722.60900000005</v>
      </c>
    </row>
    <row r="190" spans="1:23" x14ac:dyDescent="0.3">
      <c r="A190" s="2" t="s">
        <v>21</v>
      </c>
      <c r="B190" s="2">
        <v>5.016</v>
      </c>
      <c r="C190" s="2">
        <v>2000115925</v>
      </c>
      <c r="D190" s="2">
        <v>1.8</v>
      </c>
      <c r="E190" s="2"/>
      <c r="F190" s="2">
        <v>675</v>
      </c>
      <c r="G190" s="2">
        <v>825</v>
      </c>
      <c r="H190" s="2">
        <v>5</v>
      </c>
      <c r="I190" s="2" t="s">
        <v>27</v>
      </c>
      <c r="J190" s="3">
        <f>IF(A190="Upgrade",IF(OR(H190=4,H190=5),VLOOKUP(I190,'Renewal Rates'!$A$22:$B$27,2,FALSE),2.7%),IF(A190="Renewal",100%,0%))</f>
        <v>0.116578</v>
      </c>
      <c r="K190" s="2" t="s">
        <v>22</v>
      </c>
      <c r="L190" s="2">
        <v>378</v>
      </c>
      <c r="M190" s="2" t="s">
        <v>23</v>
      </c>
      <c r="N190" s="2" t="s">
        <v>24</v>
      </c>
      <c r="O190" s="4">
        <v>51848</v>
      </c>
      <c r="P190" s="4">
        <v>28552</v>
      </c>
      <c r="Q190" s="4">
        <v>17628</v>
      </c>
      <c r="R190" s="4">
        <v>69476</v>
      </c>
      <c r="S190" s="5">
        <v>0.4</v>
      </c>
      <c r="T190" s="4">
        <v>27790</v>
      </c>
      <c r="U190" s="4">
        <v>97266</v>
      </c>
      <c r="V190" s="6">
        <f t="shared" si="4"/>
        <v>11339.075747999999</v>
      </c>
      <c r="W190" s="6">
        <f t="shared" si="5"/>
        <v>85926.924251999997</v>
      </c>
    </row>
    <row r="191" spans="1:23" x14ac:dyDescent="0.3">
      <c r="A191" s="2" t="s">
        <v>21</v>
      </c>
      <c r="B191" s="2">
        <v>5.016</v>
      </c>
      <c r="C191" s="2">
        <v>2000897643</v>
      </c>
      <c r="D191" s="2">
        <v>3.3</v>
      </c>
      <c r="E191" s="2"/>
      <c r="F191" s="2">
        <v>675</v>
      </c>
      <c r="G191" s="2">
        <v>825</v>
      </c>
      <c r="H191" s="2">
        <v>5</v>
      </c>
      <c r="I191" s="2" t="s">
        <v>27</v>
      </c>
      <c r="J191" s="3">
        <f>IF(A191="Upgrade",IF(OR(H191=4,H191=5),VLOOKUP(I191,'Renewal Rates'!$A$22:$B$27,2,FALSE),2.7%),IF(A191="Renewal",100%,0%))</f>
        <v>0.116578</v>
      </c>
      <c r="K191" s="2" t="s">
        <v>22</v>
      </c>
      <c r="L191" s="2">
        <v>378</v>
      </c>
      <c r="M191" s="2" t="s">
        <v>23</v>
      </c>
      <c r="N191" s="2" t="s">
        <v>24</v>
      </c>
      <c r="O191" s="4">
        <v>54075</v>
      </c>
      <c r="P191" s="4">
        <v>16501</v>
      </c>
      <c r="Q191" s="4">
        <v>18385</v>
      </c>
      <c r="R191" s="4">
        <v>72460</v>
      </c>
      <c r="S191" s="5">
        <v>0.4</v>
      </c>
      <c r="T191" s="4">
        <v>28984</v>
      </c>
      <c r="U191" s="4">
        <v>101444</v>
      </c>
      <c r="V191" s="6">
        <f t="shared" si="4"/>
        <v>11826.138632</v>
      </c>
      <c r="W191" s="6">
        <f t="shared" si="5"/>
        <v>89617.861367999998</v>
      </c>
    </row>
    <row r="192" spans="1:23" x14ac:dyDescent="0.3">
      <c r="A192" s="2" t="s">
        <v>21</v>
      </c>
      <c r="B192" s="2">
        <v>5.016</v>
      </c>
      <c r="C192" s="2">
        <v>2000795610</v>
      </c>
      <c r="D192" s="2">
        <v>30.1</v>
      </c>
      <c r="E192" s="2"/>
      <c r="F192" s="2">
        <v>675</v>
      </c>
      <c r="G192" s="2">
        <v>825</v>
      </c>
      <c r="H192" s="2">
        <v>4</v>
      </c>
      <c r="I192" s="2">
        <v>1</v>
      </c>
      <c r="J192" s="3">
        <f>IF(A192="Upgrade",IF(OR(H192=4,H192=5),VLOOKUP(I192,'Renewal Rates'!$A$22:$B$27,2,FALSE),2.7%),IF(A192="Renewal",100%,0%))</f>
        <v>0</v>
      </c>
      <c r="K192" s="2" t="s">
        <v>22</v>
      </c>
      <c r="L192" s="2">
        <v>378</v>
      </c>
      <c r="M192" s="2" t="s">
        <v>23</v>
      </c>
      <c r="N192" s="2" t="s">
        <v>24</v>
      </c>
      <c r="O192" s="4">
        <v>153315</v>
      </c>
      <c r="P192" s="4">
        <v>5088</v>
      </c>
      <c r="Q192" s="4">
        <v>52127</v>
      </c>
      <c r="R192" s="4">
        <v>205442</v>
      </c>
      <c r="S192" s="5">
        <v>0.4</v>
      </c>
      <c r="T192" s="4">
        <v>82177</v>
      </c>
      <c r="U192" s="4">
        <v>287619</v>
      </c>
      <c r="V192" s="6">
        <f t="shared" si="4"/>
        <v>0</v>
      </c>
      <c r="W192" s="6">
        <f t="shared" si="5"/>
        <v>287619</v>
      </c>
    </row>
    <row r="193" spans="1:23" x14ac:dyDescent="0.3">
      <c r="A193" s="2" t="s">
        <v>21</v>
      </c>
      <c r="B193" s="2">
        <v>5.0140000000000002</v>
      </c>
      <c r="C193" s="2">
        <v>2000088083</v>
      </c>
      <c r="D193" s="2">
        <v>22.2</v>
      </c>
      <c r="E193" s="2"/>
      <c r="F193" s="2">
        <v>300</v>
      </c>
      <c r="G193" s="2">
        <v>525</v>
      </c>
      <c r="H193" s="2">
        <v>4</v>
      </c>
      <c r="I193" s="2" t="s">
        <v>27</v>
      </c>
      <c r="J193" s="3">
        <f>IF(A193="Upgrade",IF(OR(H193=4,H193=5),VLOOKUP(I193,'Renewal Rates'!$A$22:$B$27,2,FALSE),2.7%),IF(A193="Renewal",100%,0%))</f>
        <v>0.116578</v>
      </c>
      <c r="K193" s="2" t="s">
        <v>22</v>
      </c>
      <c r="L193" s="2">
        <v>378</v>
      </c>
      <c r="M193" s="2" t="s">
        <v>23</v>
      </c>
      <c r="N193" s="2" t="s">
        <v>24</v>
      </c>
      <c r="O193" s="4">
        <v>99099</v>
      </c>
      <c r="P193" s="4">
        <v>4470</v>
      </c>
      <c r="Q193" s="4">
        <v>33694</v>
      </c>
      <c r="R193" s="4">
        <v>132792</v>
      </c>
      <c r="S193" s="5">
        <v>0.4</v>
      </c>
      <c r="T193" s="4">
        <v>53117</v>
      </c>
      <c r="U193" s="4">
        <v>185909</v>
      </c>
      <c r="V193" s="6">
        <f t="shared" si="4"/>
        <v>21672.899401999999</v>
      </c>
      <c r="W193" s="6">
        <f t="shared" si="5"/>
        <v>164236.10059799999</v>
      </c>
    </row>
    <row r="194" spans="1:23" x14ac:dyDescent="0.3">
      <c r="A194" s="2" t="s">
        <v>21</v>
      </c>
      <c r="B194" s="2">
        <v>5.0140000000000002</v>
      </c>
      <c r="C194" s="2">
        <v>2000257107</v>
      </c>
      <c r="D194" s="2">
        <v>19.7</v>
      </c>
      <c r="E194" s="2"/>
      <c r="F194" s="2">
        <v>300</v>
      </c>
      <c r="G194" s="2">
        <v>525</v>
      </c>
      <c r="H194" s="2"/>
      <c r="I194" s="2"/>
      <c r="J194" s="3">
        <f>IF(A194="Upgrade",IF(OR(H194=4,H194=5),VLOOKUP(I194,'Renewal Rates'!$A$22:$B$27,2,FALSE),2.7%),IF(A194="Renewal",100%,0%))</f>
        <v>2.7000000000000003E-2</v>
      </c>
      <c r="K194" s="2" t="s">
        <v>22</v>
      </c>
      <c r="L194" s="2">
        <v>378</v>
      </c>
      <c r="M194" s="2" t="s">
        <v>23</v>
      </c>
      <c r="N194" s="2" t="s">
        <v>24</v>
      </c>
      <c r="O194" s="4">
        <v>80566</v>
      </c>
      <c r="P194" s="4">
        <v>4088</v>
      </c>
      <c r="Q194" s="4">
        <v>27393</v>
      </c>
      <c r="R194" s="4">
        <v>107959</v>
      </c>
      <c r="S194" s="5">
        <v>0.4</v>
      </c>
      <c r="T194" s="4">
        <v>43184</v>
      </c>
      <c r="U194" s="4">
        <v>151143</v>
      </c>
      <c r="V194" s="6">
        <f t="shared" si="4"/>
        <v>4080.8610000000003</v>
      </c>
      <c r="W194" s="6">
        <f t="shared" si="5"/>
        <v>147062.139</v>
      </c>
    </row>
    <row r="195" spans="1:23" x14ac:dyDescent="0.3">
      <c r="A195" s="2" t="s">
        <v>21</v>
      </c>
      <c r="B195" s="2">
        <v>5.0149999999999997</v>
      </c>
      <c r="C195" s="2">
        <v>2000520545</v>
      </c>
      <c r="D195" s="2">
        <v>33.799999999999997</v>
      </c>
      <c r="E195" s="2"/>
      <c r="F195" s="2">
        <v>675</v>
      </c>
      <c r="G195" s="2">
        <v>750</v>
      </c>
      <c r="H195" s="2"/>
      <c r="I195" s="2"/>
      <c r="J195" s="3">
        <f>IF(A195="Upgrade",IF(OR(H195=4,H195=5),VLOOKUP(I195,'Renewal Rates'!$A$22:$B$27,2,FALSE),2.7%),IF(A195="Renewal",100%,0%))</f>
        <v>2.7000000000000003E-2</v>
      </c>
      <c r="K195" s="2" t="s">
        <v>22</v>
      </c>
      <c r="L195" s="2">
        <v>378</v>
      </c>
      <c r="M195" s="2" t="s">
        <v>23</v>
      </c>
      <c r="N195" s="2" t="s">
        <v>24</v>
      </c>
      <c r="O195" s="4">
        <v>153799</v>
      </c>
      <c r="P195" s="4">
        <v>4552</v>
      </c>
      <c r="Q195" s="4">
        <v>52291</v>
      </c>
      <c r="R195" s="4">
        <v>206090</v>
      </c>
      <c r="S195" s="5">
        <v>0.4</v>
      </c>
      <c r="T195" s="4">
        <v>82436</v>
      </c>
      <c r="U195" s="4">
        <v>288526</v>
      </c>
      <c r="V195" s="6">
        <f t="shared" ref="V195:V258" si="6">J195*U195</f>
        <v>7790.2020000000011</v>
      </c>
      <c r="W195" s="6">
        <f t="shared" ref="W195:W258" si="7">U195-V195</f>
        <v>280735.79800000001</v>
      </c>
    </row>
    <row r="196" spans="1:23" x14ac:dyDescent="0.3">
      <c r="A196" s="2" t="s">
        <v>21</v>
      </c>
      <c r="B196" s="2">
        <v>5.0149999999999997</v>
      </c>
      <c r="C196" s="2">
        <v>3000102718</v>
      </c>
      <c r="D196" s="2">
        <v>44.3</v>
      </c>
      <c r="E196" s="2"/>
      <c r="F196" s="2">
        <v>450</v>
      </c>
      <c r="G196" s="2">
        <v>750</v>
      </c>
      <c r="H196" s="2"/>
      <c r="I196" s="2"/>
      <c r="J196" s="3">
        <f>IF(A196="Upgrade",IF(OR(H196=4,H196=5),VLOOKUP(I196,'Renewal Rates'!$A$22:$B$27,2,FALSE),2.7%),IF(A196="Renewal",100%,0%))</f>
        <v>2.7000000000000003E-2</v>
      </c>
      <c r="K196" s="2" t="s">
        <v>22</v>
      </c>
      <c r="L196" s="2">
        <v>378</v>
      </c>
      <c r="M196" s="2" t="s">
        <v>23</v>
      </c>
      <c r="N196" s="2" t="s">
        <v>24</v>
      </c>
      <c r="O196" s="4">
        <v>187523</v>
      </c>
      <c r="P196" s="4">
        <v>4234</v>
      </c>
      <c r="Q196" s="4">
        <v>63758</v>
      </c>
      <c r="R196" s="4">
        <v>251281</v>
      </c>
      <c r="S196" s="5">
        <v>0.4</v>
      </c>
      <c r="T196" s="4">
        <v>100512</v>
      </c>
      <c r="U196" s="4">
        <v>351794</v>
      </c>
      <c r="V196" s="6">
        <f t="shared" si="6"/>
        <v>9498.4380000000019</v>
      </c>
      <c r="W196" s="6">
        <f t="shared" si="7"/>
        <v>342295.56199999998</v>
      </c>
    </row>
    <row r="197" spans="1:23" x14ac:dyDescent="0.3">
      <c r="A197" s="2" t="s">
        <v>21</v>
      </c>
      <c r="B197" s="2">
        <v>5.0149999999999997</v>
      </c>
      <c r="C197" s="2">
        <v>2000234629</v>
      </c>
      <c r="D197" s="2">
        <v>27.2</v>
      </c>
      <c r="E197" s="2"/>
      <c r="F197" s="2">
        <v>450</v>
      </c>
      <c r="G197" s="2">
        <v>750</v>
      </c>
      <c r="H197" s="2"/>
      <c r="I197" s="2"/>
      <c r="J197" s="3">
        <f>IF(A197="Upgrade",IF(OR(H197=4,H197=5),VLOOKUP(I197,'Renewal Rates'!$A$22:$B$27,2,FALSE),2.7%),IF(A197="Renewal",100%,0%))</f>
        <v>2.7000000000000003E-2</v>
      </c>
      <c r="K197" s="2" t="s">
        <v>22</v>
      </c>
      <c r="L197" s="2">
        <v>378</v>
      </c>
      <c r="M197" s="2" t="s">
        <v>23</v>
      </c>
      <c r="N197" s="2" t="s">
        <v>24</v>
      </c>
      <c r="O197" s="4">
        <v>125376</v>
      </c>
      <c r="P197" s="4">
        <v>4613</v>
      </c>
      <c r="Q197" s="4">
        <v>42628</v>
      </c>
      <c r="R197" s="4">
        <v>168004</v>
      </c>
      <c r="S197" s="5">
        <v>0.4</v>
      </c>
      <c r="T197" s="4">
        <v>67202</v>
      </c>
      <c r="U197" s="4">
        <v>235206</v>
      </c>
      <c r="V197" s="6">
        <f t="shared" si="6"/>
        <v>6350.5620000000008</v>
      </c>
      <c r="W197" s="6">
        <f t="shared" si="7"/>
        <v>228855.43799999999</v>
      </c>
    </row>
    <row r="198" spans="1:23" x14ac:dyDescent="0.3">
      <c r="A198" s="2" t="s">
        <v>21</v>
      </c>
      <c r="B198" s="2">
        <v>5.0170000000000003</v>
      </c>
      <c r="C198" s="2">
        <v>2000627710</v>
      </c>
      <c r="D198" s="2">
        <v>51.8</v>
      </c>
      <c r="E198" s="2"/>
      <c r="F198" s="2">
        <v>600</v>
      </c>
      <c r="G198" s="2">
        <v>450</v>
      </c>
      <c r="H198" s="2"/>
      <c r="I198" s="2"/>
      <c r="J198" s="3">
        <f>IF(A198="Upgrade",IF(OR(H198=4,H198=5),VLOOKUP(I198,'Renewal Rates'!$A$22:$B$27,2,FALSE),2.7%),IF(A198="Renewal",100%,0%))</f>
        <v>2.7000000000000003E-2</v>
      </c>
      <c r="K198" s="2" t="s">
        <v>22</v>
      </c>
      <c r="L198" s="2">
        <v>378</v>
      </c>
      <c r="M198" s="2" t="s">
        <v>23</v>
      </c>
      <c r="N198" s="2" t="s">
        <v>24</v>
      </c>
      <c r="O198" s="4">
        <v>158927</v>
      </c>
      <c r="P198" s="4">
        <v>3071</v>
      </c>
      <c r="Q198" s="4">
        <v>54035</v>
      </c>
      <c r="R198" s="4">
        <v>212962</v>
      </c>
      <c r="S198" s="5">
        <v>0.4</v>
      </c>
      <c r="T198" s="4">
        <v>85185</v>
      </c>
      <c r="U198" s="4">
        <v>298147</v>
      </c>
      <c r="V198" s="6">
        <f t="shared" si="6"/>
        <v>8049.969000000001</v>
      </c>
      <c r="W198" s="6">
        <f t="shared" si="7"/>
        <v>290097.03100000002</v>
      </c>
    </row>
    <row r="199" spans="1:23" x14ac:dyDescent="0.3">
      <c r="A199" s="2" t="s">
        <v>21</v>
      </c>
      <c r="B199" s="2">
        <v>5.0170000000000003</v>
      </c>
      <c r="C199" s="2">
        <v>2000584400</v>
      </c>
      <c r="D199" s="2">
        <v>90.4</v>
      </c>
      <c r="E199" s="2"/>
      <c r="F199" s="2">
        <v>450</v>
      </c>
      <c r="G199" s="2">
        <v>450</v>
      </c>
      <c r="H199" s="2"/>
      <c r="I199" s="2"/>
      <c r="J199" s="3">
        <f>IF(A199="Upgrade",IF(OR(H199=4,H199=5),VLOOKUP(I199,'Renewal Rates'!$A$22:$B$27,2,FALSE),2.7%),IF(A199="Renewal",100%,0%))</f>
        <v>2.7000000000000003E-2</v>
      </c>
      <c r="K199" s="2" t="s">
        <v>22</v>
      </c>
      <c r="L199" s="2">
        <v>378</v>
      </c>
      <c r="M199" s="2" t="s">
        <v>23</v>
      </c>
      <c r="N199" s="2" t="s">
        <v>24</v>
      </c>
      <c r="O199" s="4">
        <v>244809</v>
      </c>
      <c r="P199" s="4">
        <v>2707</v>
      </c>
      <c r="Q199" s="4">
        <v>83235</v>
      </c>
      <c r="R199" s="4">
        <v>328045</v>
      </c>
      <c r="S199" s="5">
        <v>0.4</v>
      </c>
      <c r="T199" s="4">
        <v>131218</v>
      </c>
      <c r="U199" s="4">
        <v>459262</v>
      </c>
      <c r="V199" s="6">
        <f t="shared" si="6"/>
        <v>12400.074000000002</v>
      </c>
      <c r="W199" s="6">
        <f t="shared" si="7"/>
        <v>446861.92599999998</v>
      </c>
    </row>
    <row r="200" spans="1:23" x14ac:dyDescent="0.3">
      <c r="A200" s="2" t="s">
        <v>21</v>
      </c>
      <c r="B200" s="2">
        <v>5.008</v>
      </c>
      <c r="C200" s="2">
        <v>2000489705</v>
      </c>
      <c r="D200" s="2">
        <v>22.9</v>
      </c>
      <c r="E200" s="2"/>
      <c r="F200" s="2">
        <v>375</v>
      </c>
      <c r="G200" s="2">
        <v>600</v>
      </c>
      <c r="H200" s="2"/>
      <c r="I200" s="2"/>
      <c r="J200" s="3">
        <f>IF(A200="Upgrade",IF(OR(H200=4,H200=5),VLOOKUP(I200,'Renewal Rates'!$A$22:$B$27,2,FALSE),2.7%),IF(A200="Renewal",100%,0%))</f>
        <v>2.7000000000000003E-2</v>
      </c>
      <c r="K200" s="2" t="s">
        <v>22</v>
      </c>
      <c r="L200" s="2">
        <v>378</v>
      </c>
      <c r="M200" s="2" t="s">
        <v>23</v>
      </c>
      <c r="N200" s="2" t="s">
        <v>24</v>
      </c>
      <c r="O200" s="4">
        <v>86591</v>
      </c>
      <c r="P200" s="4">
        <v>3780</v>
      </c>
      <c r="Q200" s="4">
        <v>29441</v>
      </c>
      <c r="R200" s="4">
        <v>116032</v>
      </c>
      <c r="S200" s="5">
        <v>0.4</v>
      </c>
      <c r="T200" s="4">
        <v>46413</v>
      </c>
      <c r="U200" s="4">
        <v>162445</v>
      </c>
      <c r="V200" s="6">
        <f t="shared" si="6"/>
        <v>4386.0150000000003</v>
      </c>
      <c r="W200" s="6">
        <f t="shared" si="7"/>
        <v>158058.98499999999</v>
      </c>
    </row>
    <row r="201" spans="1:23" x14ac:dyDescent="0.3">
      <c r="A201" s="2" t="s">
        <v>21</v>
      </c>
      <c r="B201" s="2">
        <v>5.008</v>
      </c>
      <c r="C201" s="2">
        <v>2000811526</v>
      </c>
      <c r="D201" s="2">
        <v>11.7</v>
      </c>
      <c r="E201" s="2"/>
      <c r="F201" s="2">
        <v>375</v>
      </c>
      <c r="G201" s="2">
        <v>600</v>
      </c>
      <c r="H201" s="2"/>
      <c r="I201" s="2"/>
      <c r="J201" s="3">
        <f>IF(A201="Upgrade",IF(OR(H201=4,H201=5),VLOOKUP(I201,'Renewal Rates'!$A$22:$B$27,2,FALSE),2.7%),IF(A201="Renewal",100%,0%))</f>
        <v>2.7000000000000003E-2</v>
      </c>
      <c r="K201" s="2" t="s">
        <v>22</v>
      </c>
      <c r="L201" s="2">
        <v>378</v>
      </c>
      <c r="M201" s="2" t="s">
        <v>23</v>
      </c>
      <c r="N201" s="2" t="s">
        <v>24</v>
      </c>
      <c r="O201" s="4">
        <v>75002</v>
      </c>
      <c r="P201" s="4">
        <v>6408</v>
      </c>
      <c r="Q201" s="4">
        <v>25501</v>
      </c>
      <c r="R201" s="4">
        <v>100503</v>
      </c>
      <c r="S201" s="5">
        <v>0.4</v>
      </c>
      <c r="T201" s="4">
        <v>40201</v>
      </c>
      <c r="U201" s="4">
        <v>140704</v>
      </c>
      <c r="V201" s="6">
        <f t="shared" si="6"/>
        <v>3799.0080000000003</v>
      </c>
      <c r="W201" s="6">
        <f t="shared" si="7"/>
        <v>136904.992</v>
      </c>
    </row>
    <row r="202" spans="1:23" x14ac:dyDescent="0.3">
      <c r="A202" s="2" t="s">
        <v>21</v>
      </c>
      <c r="B202" s="2">
        <v>5.008</v>
      </c>
      <c r="C202" s="2">
        <v>2000445095</v>
      </c>
      <c r="D202" s="2">
        <v>29.2</v>
      </c>
      <c r="E202" s="2"/>
      <c r="F202" s="2">
        <v>375</v>
      </c>
      <c r="G202" s="2">
        <v>600</v>
      </c>
      <c r="H202" s="2"/>
      <c r="I202" s="2"/>
      <c r="J202" s="3">
        <f>IF(A202="Upgrade",IF(OR(H202=4,H202=5),VLOOKUP(I202,'Renewal Rates'!$A$22:$B$27,2,FALSE),2.7%),IF(A202="Renewal",100%,0%))</f>
        <v>2.7000000000000003E-2</v>
      </c>
      <c r="K202" s="2" t="s">
        <v>22</v>
      </c>
      <c r="L202" s="2">
        <v>378</v>
      </c>
      <c r="M202" s="2" t="s">
        <v>23</v>
      </c>
      <c r="N202" s="2" t="s">
        <v>24</v>
      </c>
      <c r="O202" s="4">
        <v>128944</v>
      </c>
      <c r="P202" s="4">
        <v>4411</v>
      </c>
      <c r="Q202" s="4">
        <v>43841</v>
      </c>
      <c r="R202" s="4">
        <v>172785</v>
      </c>
      <c r="S202" s="5">
        <v>0.4</v>
      </c>
      <c r="T202" s="4">
        <v>69114</v>
      </c>
      <c r="U202" s="4">
        <v>241899</v>
      </c>
      <c r="V202" s="6">
        <f t="shared" si="6"/>
        <v>6531.273000000001</v>
      </c>
      <c r="W202" s="6">
        <f t="shared" si="7"/>
        <v>235367.72700000001</v>
      </c>
    </row>
    <row r="203" spans="1:23" x14ac:dyDescent="0.3">
      <c r="A203" s="2" t="s">
        <v>21</v>
      </c>
      <c r="B203" s="2">
        <v>5.008</v>
      </c>
      <c r="C203" s="2">
        <v>2000680358</v>
      </c>
      <c r="D203" s="2">
        <v>26.2</v>
      </c>
      <c r="E203" s="2"/>
      <c r="F203" s="2">
        <v>375</v>
      </c>
      <c r="G203" s="2">
        <v>600</v>
      </c>
      <c r="H203" s="2"/>
      <c r="I203" s="2"/>
      <c r="J203" s="3">
        <f>IF(A203="Upgrade",IF(OR(H203=4,H203=5),VLOOKUP(I203,'Renewal Rates'!$A$22:$B$27,2,FALSE),2.7%),IF(A203="Renewal",100%,0%))</f>
        <v>2.7000000000000003E-2</v>
      </c>
      <c r="K203" s="2" t="s">
        <v>22</v>
      </c>
      <c r="L203" s="2">
        <v>378</v>
      </c>
      <c r="M203" s="2" t="s">
        <v>23</v>
      </c>
      <c r="N203" s="2" t="s">
        <v>24</v>
      </c>
      <c r="O203" s="4">
        <v>109413</v>
      </c>
      <c r="P203" s="4">
        <v>4179</v>
      </c>
      <c r="Q203" s="4">
        <v>37200</v>
      </c>
      <c r="R203" s="4">
        <v>146613</v>
      </c>
      <c r="S203" s="5">
        <v>0.4</v>
      </c>
      <c r="T203" s="4">
        <v>58645</v>
      </c>
      <c r="U203" s="4">
        <v>205258</v>
      </c>
      <c r="V203" s="6">
        <f t="shared" si="6"/>
        <v>5541.9660000000003</v>
      </c>
      <c r="W203" s="6">
        <f t="shared" si="7"/>
        <v>199716.03399999999</v>
      </c>
    </row>
    <row r="204" spans="1:23" x14ac:dyDescent="0.3">
      <c r="A204" s="2" t="s">
        <v>21</v>
      </c>
      <c r="B204" s="2">
        <v>5.008</v>
      </c>
      <c r="C204" s="2">
        <v>2000704675</v>
      </c>
      <c r="D204" s="2">
        <v>29.8</v>
      </c>
      <c r="E204" s="2"/>
      <c r="F204" s="2">
        <v>375</v>
      </c>
      <c r="G204" s="2">
        <v>600</v>
      </c>
      <c r="H204" s="2"/>
      <c r="I204" s="2"/>
      <c r="J204" s="3">
        <f>IF(A204="Upgrade",IF(OR(H204=4,H204=5),VLOOKUP(I204,'Renewal Rates'!$A$22:$B$27,2,FALSE),2.7%),IF(A204="Renewal",100%,0%))</f>
        <v>2.7000000000000003E-2</v>
      </c>
      <c r="K204" s="2" t="s">
        <v>22</v>
      </c>
      <c r="L204" s="2">
        <v>378</v>
      </c>
      <c r="M204" s="2" t="s">
        <v>23</v>
      </c>
      <c r="N204" s="2" t="s">
        <v>24</v>
      </c>
      <c r="O204" s="4">
        <v>113176</v>
      </c>
      <c r="P204" s="4">
        <v>3795</v>
      </c>
      <c r="Q204" s="4">
        <v>38480</v>
      </c>
      <c r="R204" s="4">
        <v>151656</v>
      </c>
      <c r="S204" s="5">
        <v>0.4</v>
      </c>
      <c r="T204" s="4">
        <v>60662</v>
      </c>
      <c r="U204" s="4">
        <v>212318</v>
      </c>
      <c r="V204" s="6">
        <f t="shared" si="6"/>
        <v>5732.5860000000002</v>
      </c>
      <c r="W204" s="6">
        <f t="shared" si="7"/>
        <v>206585.41399999999</v>
      </c>
    </row>
    <row r="205" spans="1:23" x14ac:dyDescent="0.3">
      <c r="A205" s="2" t="s">
        <v>21</v>
      </c>
      <c r="B205" s="2">
        <v>5.008</v>
      </c>
      <c r="C205" s="2">
        <v>2000300414</v>
      </c>
      <c r="D205" s="2">
        <v>24.9</v>
      </c>
      <c r="E205" s="2"/>
      <c r="F205" s="2">
        <v>300</v>
      </c>
      <c r="G205" s="2">
        <v>600</v>
      </c>
      <c r="H205" s="2"/>
      <c r="I205" s="2"/>
      <c r="J205" s="3">
        <f>IF(A205="Upgrade",IF(OR(H205=4,H205=5),VLOOKUP(I205,'Renewal Rates'!$A$22:$B$27,2,FALSE),2.7%),IF(A205="Renewal",100%,0%))</f>
        <v>2.7000000000000003E-2</v>
      </c>
      <c r="K205" s="2" t="s">
        <v>22</v>
      </c>
      <c r="L205" s="2">
        <v>378</v>
      </c>
      <c r="M205" s="2" t="s">
        <v>23</v>
      </c>
      <c r="N205" s="2" t="s">
        <v>24</v>
      </c>
      <c r="O205" s="4">
        <v>108117</v>
      </c>
      <c r="P205" s="4">
        <v>4337</v>
      </c>
      <c r="Q205" s="4">
        <v>36760</v>
      </c>
      <c r="R205" s="4">
        <v>144877</v>
      </c>
      <c r="S205" s="5">
        <v>0.4</v>
      </c>
      <c r="T205" s="4">
        <v>57951</v>
      </c>
      <c r="U205" s="4">
        <v>202828</v>
      </c>
      <c r="V205" s="6">
        <f t="shared" si="6"/>
        <v>5476.3560000000007</v>
      </c>
      <c r="W205" s="6">
        <f t="shared" si="7"/>
        <v>197351.644</v>
      </c>
    </row>
    <row r="206" spans="1:23" x14ac:dyDescent="0.3">
      <c r="A206" s="2" t="s">
        <v>25</v>
      </c>
      <c r="B206" s="2">
        <v>5.0010000000000003</v>
      </c>
      <c r="C206" s="2"/>
      <c r="D206" s="2"/>
      <c r="E206" s="2">
        <v>259.89999999999998</v>
      </c>
      <c r="F206" s="2"/>
      <c r="G206" s="2">
        <v>900</v>
      </c>
      <c r="H206" s="2"/>
      <c r="I206" s="2"/>
      <c r="J206" s="3">
        <f>IF(A206="Upgrade",IF(OR(H206=4,H206=5),VLOOKUP(I206,'Renewal Rates'!$A$22:$B$27,2,FALSE),2.7%),IF(A206="Renewal",100%,0%))</f>
        <v>0</v>
      </c>
      <c r="K206" s="2" t="s">
        <v>22</v>
      </c>
      <c r="L206" s="2">
        <v>385</v>
      </c>
      <c r="M206" s="2" t="s">
        <v>23</v>
      </c>
      <c r="N206" s="2" t="s">
        <v>24</v>
      </c>
      <c r="O206" s="4">
        <v>1358003</v>
      </c>
      <c r="P206" s="4">
        <v>5226</v>
      </c>
      <c r="Q206" s="4">
        <v>461721</v>
      </c>
      <c r="R206" s="4">
        <v>1819724</v>
      </c>
      <c r="S206" s="5">
        <v>0.4</v>
      </c>
      <c r="T206" s="4">
        <v>727890</v>
      </c>
      <c r="U206" s="4">
        <v>2547614</v>
      </c>
      <c r="V206" s="6">
        <f t="shared" si="6"/>
        <v>0</v>
      </c>
      <c r="W206" s="6">
        <f t="shared" si="7"/>
        <v>2547614</v>
      </c>
    </row>
    <row r="207" spans="1:23" x14ac:dyDescent="0.3">
      <c r="A207" s="2" t="s">
        <v>21</v>
      </c>
      <c r="B207" s="2">
        <v>5.0119999999999996</v>
      </c>
      <c r="C207" s="2">
        <v>2000069890</v>
      </c>
      <c r="D207" s="2">
        <v>17.399999999999999</v>
      </c>
      <c r="E207" s="2"/>
      <c r="F207" s="2">
        <v>450</v>
      </c>
      <c r="G207" s="2">
        <v>900</v>
      </c>
      <c r="H207" s="2"/>
      <c r="I207" s="2"/>
      <c r="J207" s="3">
        <f>IF(A207="Upgrade",IF(OR(H207=4,H207=5),VLOOKUP(I207,'Renewal Rates'!$A$22:$B$27,2,FALSE),2.7%),IF(A207="Renewal",100%,0%))</f>
        <v>2.7000000000000003E-2</v>
      </c>
      <c r="K207" s="2" t="s">
        <v>22</v>
      </c>
      <c r="L207" s="2">
        <v>378</v>
      </c>
      <c r="M207" s="2" t="s">
        <v>23</v>
      </c>
      <c r="N207" s="2" t="s">
        <v>24</v>
      </c>
      <c r="O207" s="4">
        <v>126564</v>
      </c>
      <c r="P207" s="4">
        <v>7290</v>
      </c>
      <c r="Q207" s="4">
        <v>43032</v>
      </c>
      <c r="R207" s="4">
        <v>169595</v>
      </c>
      <c r="S207" s="5">
        <v>0.4</v>
      </c>
      <c r="T207" s="4">
        <v>67838</v>
      </c>
      <c r="U207" s="4">
        <v>237434</v>
      </c>
      <c r="V207" s="6">
        <f t="shared" si="6"/>
        <v>6410.7180000000008</v>
      </c>
      <c r="W207" s="6">
        <f t="shared" si="7"/>
        <v>231023.28200000001</v>
      </c>
    </row>
    <row r="208" spans="1:23" x14ac:dyDescent="0.3">
      <c r="A208" s="2" t="s">
        <v>21</v>
      </c>
      <c r="B208" s="2">
        <v>5.0110000000000001</v>
      </c>
      <c r="C208" s="2">
        <v>2000370291</v>
      </c>
      <c r="D208" s="2">
        <v>13.9</v>
      </c>
      <c r="E208" s="2"/>
      <c r="F208" s="2">
        <v>675</v>
      </c>
      <c r="G208" s="2">
        <v>675</v>
      </c>
      <c r="H208" s="2"/>
      <c r="I208" s="2"/>
      <c r="J208" s="3">
        <f>IF(A208="Upgrade",IF(OR(H208=4,H208=5),VLOOKUP(I208,'Renewal Rates'!$A$22:$B$27,2,FALSE),2.7%),IF(A208="Renewal",100%,0%))</f>
        <v>2.7000000000000003E-2</v>
      </c>
      <c r="K208" s="2" t="s">
        <v>22</v>
      </c>
      <c r="L208" s="2">
        <v>378</v>
      </c>
      <c r="M208" s="2" t="s">
        <v>23</v>
      </c>
      <c r="N208" s="2" t="s">
        <v>24</v>
      </c>
      <c r="O208" s="4">
        <v>86138</v>
      </c>
      <c r="P208" s="4">
        <v>6176</v>
      </c>
      <c r="Q208" s="4">
        <v>29287</v>
      </c>
      <c r="R208" s="4">
        <v>115425</v>
      </c>
      <c r="S208" s="5">
        <v>0.4</v>
      </c>
      <c r="T208" s="4">
        <v>46170</v>
      </c>
      <c r="U208" s="4">
        <v>161595</v>
      </c>
      <c r="V208" s="6">
        <f t="shared" si="6"/>
        <v>4363.0650000000005</v>
      </c>
      <c r="W208" s="6">
        <f t="shared" si="7"/>
        <v>157231.935</v>
      </c>
    </row>
    <row r="209" spans="1:23" x14ac:dyDescent="0.3">
      <c r="A209" s="2" t="s">
        <v>21</v>
      </c>
      <c r="B209" s="2">
        <v>5.0110000000000001</v>
      </c>
      <c r="C209" s="2">
        <v>2000143567</v>
      </c>
      <c r="D209" s="2">
        <v>10.7</v>
      </c>
      <c r="E209" s="2"/>
      <c r="F209" s="2">
        <v>525</v>
      </c>
      <c r="G209" s="2">
        <v>675</v>
      </c>
      <c r="H209" s="2"/>
      <c r="I209" s="2"/>
      <c r="J209" s="3">
        <f>IF(A209="Upgrade",IF(OR(H209=4,H209=5),VLOOKUP(I209,'Renewal Rates'!$A$22:$B$27,2,FALSE),2.7%),IF(A209="Renewal",100%,0%))</f>
        <v>2.7000000000000003E-2</v>
      </c>
      <c r="K209" s="2" t="s">
        <v>22</v>
      </c>
      <c r="L209" s="2">
        <v>378</v>
      </c>
      <c r="M209" s="2" t="s">
        <v>23</v>
      </c>
      <c r="N209" s="2" t="s">
        <v>24</v>
      </c>
      <c r="O209" s="4">
        <v>82207</v>
      </c>
      <c r="P209" s="4">
        <v>7710</v>
      </c>
      <c r="Q209" s="4">
        <v>27951</v>
      </c>
      <c r="R209" s="4">
        <v>110158</v>
      </c>
      <c r="S209" s="5">
        <v>0.4</v>
      </c>
      <c r="T209" s="4">
        <v>44063</v>
      </c>
      <c r="U209" s="4">
        <v>154221</v>
      </c>
      <c r="V209" s="6">
        <f t="shared" si="6"/>
        <v>4163.9670000000006</v>
      </c>
      <c r="W209" s="6">
        <f t="shared" si="7"/>
        <v>150057.033</v>
      </c>
    </row>
    <row r="210" spans="1:23" x14ac:dyDescent="0.3">
      <c r="A210" s="2" t="s">
        <v>21</v>
      </c>
      <c r="B210" s="2">
        <v>5.0110000000000001</v>
      </c>
      <c r="C210" s="2">
        <v>2000428332</v>
      </c>
      <c r="D210" s="2">
        <v>51.2</v>
      </c>
      <c r="E210" s="2"/>
      <c r="F210" s="2">
        <v>525</v>
      </c>
      <c r="G210" s="2">
        <v>675</v>
      </c>
      <c r="H210" s="2"/>
      <c r="I210" s="2"/>
      <c r="J210" s="3">
        <f>IF(A210="Upgrade",IF(OR(H210=4,H210=5),VLOOKUP(I210,'Renewal Rates'!$A$22:$B$27,2,FALSE),2.7%),IF(A210="Renewal",100%,0%))</f>
        <v>2.7000000000000003E-2</v>
      </c>
      <c r="K210" s="2" t="s">
        <v>22</v>
      </c>
      <c r="L210" s="2">
        <v>378</v>
      </c>
      <c r="M210" s="2" t="s">
        <v>23</v>
      </c>
      <c r="N210" s="2" t="s">
        <v>24</v>
      </c>
      <c r="O210" s="4">
        <v>213964</v>
      </c>
      <c r="P210" s="4">
        <v>4180</v>
      </c>
      <c r="Q210" s="4">
        <v>72748</v>
      </c>
      <c r="R210" s="4">
        <v>286711</v>
      </c>
      <c r="S210" s="5">
        <v>0.4</v>
      </c>
      <c r="T210" s="4">
        <v>114685</v>
      </c>
      <c r="U210" s="4">
        <v>401396</v>
      </c>
      <c r="V210" s="6">
        <f t="shared" si="6"/>
        <v>10837.692000000001</v>
      </c>
      <c r="W210" s="6">
        <f t="shared" si="7"/>
        <v>390558.30800000002</v>
      </c>
    </row>
    <row r="211" spans="1:23" x14ac:dyDescent="0.3">
      <c r="A211" s="2" t="s">
        <v>21</v>
      </c>
      <c r="B211" s="2">
        <v>5.0110000000000001</v>
      </c>
      <c r="C211" s="2">
        <v>2000391485</v>
      </c>
      <c r="D211" s="2">
        <v>41.3</v>
      </c>
      <c r="E211" s="2"/>
      <c r="F211" s="2">
        <v>525</v>
      </c>
      <c r="G211" s="2">
        <v>675</v>
      </c>
      <c r="H211" s="2"/>
      <c r="I211" s="2"/>
      <c r="J211" s="3">
        <f>IF(A211="Upgrade",IF(OR(H211=4,H211=5),VLOOKUP(I211,'Renewal Rates'!$A$22:$B$27,2,FALSE),2.7%),IF(A211="Renewal",100%,0%))</f>
        <v>2.7000000000000003E-2</v>
      </c>
      <c r="K211" s="2" t="s">
        <v>22</v>
      </c>
      <c r="L211" s="2">
        <v>378</v>
      </c>
      <c r="M211" s="2" t="s">
        <v>23</v>
      </c>
      <c r="N211" s="2" t="s">
        <v>24</v>
      </c>
      <c r="O211" s="4">
        <v>157781</v>
      </c>
      <c r="P211" s="4">
        <v>3817</v>
      </c>
      <c r="Q211" s="4">
        <v>53646</v>
      </c>
      <c r="R211" s="4">
        <v>211427</v>
      </c>
      <c r="S211" s="5">
        <v>0.4</v>
      </c>
      <c r="T211" s="4">
        <v>84571</v>
      </c>
      <c r="U211" s="4">
        <v>295997</v>
      </c>
      <c r="V211" s="6">
        <f t="shared" si="6"/>
        <v>7991.9190000000008</v>
      </c>
      <c r="W211" s="6">
        <f t="shared" si="7"/>
        <v>288005.08100000001</v>
      </c>
    </row>
    <row r="212" spans="1:23" x14ac:dyDescent="0.3">
      <c r="A212" s="2" t="s">
        <v>21</v>
      </c>
      <c r="B212" s="2">
        <v>5.01</v>
      </c>
      <c r="C212" s="2">
        <v>2000879383</v>
      </c>
      <c r="D212" s="2">
        <v>30</v>
      </c>
      <c r="E212" s="2"/>
      <c r="F212" s="2">
        <v>525</v>
      </c>
      <c r="G212" s="2">
        <v>825</v>
      </c>
      <c r="H212" s="2"/>
      <c r="I212" s="2"/>
      <c r="J212" s="3">
        <f>IF(A212="Upgrade",IF(OR(H212=4,H212=5),VLOOKUP(I212,'Renewal Rates'!$A$22:$B$27,2,FALSE),2.7%),IF(A212="Renewal",100%,0%))</f>
        <v>2.7000000000000003E-2</v>
      </c>
      <c r="K212" s="2" t="s">
        <v>22</v>
      </c>
      <c r="L212" s="2">
        <v>378</v>
      </c>
      <c r="M212" s="2" t="s">
        <v>23</v>
      </c>
      <c r="N212" s="2" t="s">
        <v>24</v>
      </c>
      <c r="O212" s="4">
        <v>153039</v>
      </c>
      <c r="P212" s="4">
        <v>5109</v>
      </c>
      <c r="Q212" s="4">
        <v>52033</v>
      </c>
      <c r="R212" s="4">
        <v>205072</v>
      </c>
      <c r="S212" s="5">
        <v>0.4</v>
      </c>
      <c r="T212" s="4">
        <v>82029</v>
      </c>
      <c r="U212" s="4">
        <v>287101</v>
      </c>
      <c r="V212" s="6">
        <f t="shared" si="6"/>
        <v>7751.7270000000008</v>
      </c>
      <c r="W212" s="6">
        <f t="shared" si="7"/>
        <v>279349.27299999999</v>
      </c>
    </row>
    <row r="213" spans="1:23" x14ac:dyDescent="0.3">
      <c r="A213" s="2" t="s">
        <v>21</v>
      </c>
      <c r="B213" s="2">
        <v>5.01</v>
      </c>
      <c r="C213" s="2">
        <v>2000315320</v>
      </c>
      <c r="D213" s="2">
        <v>18.3</v>
      </c>
      <c r="E213" s="2"/>
      <c r="F213" s="2">
        <v>225</v>
      </c>
      <c r="G213" s="2">
        <v>825</v>
      </c>
      <c r="H213" s="2"/>
      <c r="I213" s="2"/>
      <c r="J213" s="3">
        <f>IF(A213="Upgrade",IF(OR(H213=4,H213=5),VLOOKUP(I213,'Renewal Rates'!$A$22:$B$27,2,FALSE),2.7%),IF(A213="Renewal",100%,0%))</f>
        <v>2.7000000000000003E-2</v>
      </c>
      <c r="K213" s="2" t="s">
        <v>22</v>
      </c>
      <c r="L213" s="2">
        <v>378</v>
      </c>
      <c r="M213" s="2" t="s">
        <v>23</v>
      </c>
      <c r="N213" s="2" t="s">
        <v>24</v>
      </c>
      <c r="O213" s="4">
        <v>115852</v>
      </c>
      <c r="P213" s="4">
        <v>6329</v>
      </c>
      <c r="Q213" s="4">
        <v>39390</v>
      </c>
      <c r="R213" s="4">
        <v>155241</v>
      </c>
      <c r="S213" s="5">
        <v>0.4</v>
      </c>
      <c r="T213" s="4">
        <v>62097</v>
      </c>
      <c r="U213" s="4">
        <v>217338</v>
      </c>
      <c r="V213" s="6">
        <f t="shared" si="6"/>
        <v>5868.1260000000011</v>
      </c>
      <c r="W213" s="6">
        <f t="shared" si="7"/>
        <v>211469.87400000001</v>
      </c>
    </row>
    <row r="214" spans="1:23" x14ac:dyDescent="0.3">
      <c r="A214" s="2" t="s">
        <v>21</v>
      </c>
      <c r="B214" s="2">
        <v>5.01</v>
      </c>
      <c r="C214" s="2">
        <v>2000596890</v>
      </c>
      <c r="D214" s="2">
        <v>8.1999999999999993</v>
      </c>
      <c r="E214" s="2"/>
      <c r="F214" s="2">
        <v>225</v>
      </c>
      <c r="G214" s="2">
        <v>825</v>
      </c>
      <c r="H214" s="2"/>
      <c r="I214" s="2"/>
      <c r="J214" s="3">
        <f>IF(A214="Upgrade",IF(OR(H214=4,H214=5),VLOOKUP(I214,'Renewal Rates'!$A$22:$B$27,2,FALSE),2.7%),IF(A214="Renewal",100%,0%))</f>
        <v>2.7000000000000003E-2</v>
      </c>
      <c r="K214" s="2" t="s">
        <v>22</v>
      </c>
      <c r="L214" s="2">
        <v>378</v>
      </c>
      <c r="M214" s="2" t="s">
        <v>23</v>
      </c>
      <c r="N214" s="2" t="s">
        <v>24</v>
      </c>
      <c r="O214" s="4">
        <v>61618</v>
      </c>
      <c r="P214" s="4">
        <v>7490</v>
      </c>
      <c r="Q214" s="4">
        <v>20950</v>
      </c>
      <c r="R214" s="4">
        <v>82569</v>
      </c>
      <c r="S214" s="5">
        <v>0.4</v>
      </c>
      <c r="T214" s="4">
        <v>33027</v>
      </c>
      <c r="U214" s="4">
        <v>115596</v>
      </c>
      <c r="V214" s="6">
        <f t="shared" si="6"/>
        <v>3121.0920000000006</v>
      </c>
      <c r="W214" s="6">
        <f t="shared" si="7"/>
        <v>112474.908</v>
      </c>
    </row>
    <row r="215" spans="1:23" x14ac:dyDescent="0.3">
      <c r="A215" s="2" t="s">
        <v>21</v>
      </c>
      <c r="B215" s="2">
        <v>7.0039999999999996</v>
      </c>
      <c r="C215" s="2">
        <v>2000003495</v>
      </c>
      <c r="D215" s="2">
        <v>60.5</v>
      </c>
      <c r="E215" s="2"/>
      <c r="F215" s="2">
        <v>300</v>
      </c>
      <c r="G215" s="2">
        <v>450</v>
      </c>
      <c r="H215" s="2"/>
      <c r="I215" s="2"/>
      <c r="J215" s="3">
        <f>IF(A215="Upgrade",IF(OR(H215=4,H215=5),VLOOKUP(I215,'Renewal Rates'!$A$22:$B$27,2,FALSE),2.7%),IF(A215="Renewal",100%,0%))</f>
        <v>2.7000000000000003E-2</v>
      </c>
      <c r="K215" s="2" t="s">
        <v>22</v>
      </c>
      <c r="L215" s="2">
        <v>363</v>
      </c>
      <c r="M215" s="2" t="s">
        <v>23</v>
      </c>
      <c r="N215" s="2" t="s">
        <v>24</v>
      </c>
      <c r="O215" s="4">
        <v>200979</v>
      </c>
      <c r="P215" s="4">
        <v>3322</v>
      </c>
      <c r="Q215" s="4">
        <v>68333</v>
      </c>
      <c r="R215" s="4">
        <v>269311</v>
      </c>
      <c r="S215" s="5">
        <v>0.4</v>
      </c>
      <c r="T215" s="4">
        <v>107725</v>
      </c>
      <c r="U215" s="4">
        <v>377036</v>
      </c>
      <c r="V215" s="6">
        <f t="shared" si="6"/>
        <v>10179.972000000002</v>
      </c>
      <c r="W215" s="6">
        <f t="shared" si="7"/>
        <v>366856.02799999999</v>
      </c>
    </row>
    <row r="216" spans="1:23" x14ac:dyDescent="0.3">
      <c r="A216" s="2" t="s">
        <v>21</v>
      </c>
      <c r="B216" s="2">
        <v>7.0039999999999996</v>
      </c>
      <c r="C216" s="2">
        <v>2000859940</v>
      </c>
      <c r="D216" s="2">
        <v>10.5</v>
      </c>
      <c r="E216" s="2"/>
      <c r="F216" s="2">
        <v>225</v>
      </c>
      <c r="G216" s="2">
        <v>450</v>
      </c>
      <c r="H216" s="2"/>
      <c r="I216" s="2"/>
      <c r="J216" s="3">
        <f>IF(A216="Upgrade",IF(OR(H216=4,H216=5),VLOOKUP(I216,'Renewal Rates'!$A$22:$B$27,2,FALSE),2.7%),IF(A216="Renewal",100%,0%))</f>
        <v>2.7000000000000003E-2</v>
      </c>
      <c r="K216" s="2" t="s">
        <v>22</v>
      </c>
      <c r="L216" s="2">
        <v>363</v>
      </c>
      <c r="M216" s="2" t="s">
        <v>23</v>
      </c>
      <c r="N216" s="2" t="s">
        <v>24</v>
      </c>
      <c r="O216" s="4">
        <v>51878</v>
      </c>
      <c r="P216" s="4">
        <v>4939</v>
      </c>
      <c r="Q216" s="4">
        <v>17638</v>
      </c>
      <c r="R216" s="4">
        <v>69516</v>
      </c>
      <c r="S216" s="5">
        <v>0.4</v>
      </c>
      <c r="T216" s="4">
        <v>27806</v>
      </c>
      <c r="U216" s="4">
        <v>97323</v>
      </c>
      <c r="V216" s="6">
        <f t="shared" si="6"/>
        <v>2627.7210000000005</v>
      </c>
      <c r="W216" s="6">
        <f t="shared" si="7"/>
        <v>94695.278999999995</v>
      </c>
    </row>
    <row r="217" spans="1:23" x14ac:dyDescent="0.3">
      <c r="A217" s="2" t="s">
        <v>21</v>
      </c>
      <c r="B217" s="2">
        <v>7.0039999999999996</v>
      </c>
      <c r="C217" s="2">
        <v>2000129875</v>
      </c>
      <c r="D217" s="2">
        <v>24</v>
      </c>
      <c r="E217" s="2"/>
      <c r="F217" s="2">
        <v>225</v>
      </c>
      <c r="G217" s="2">
        <v>450</v>
      </c>
      <c r="H217" s="2"/>
      <c r="I217" s="2"/>
      <c r="J217" s="3">
        <f>IF(A217="Upgrade",IF(OR(H217=4,H217=5),VLOOKUP(I217,'Renewal Rates'!$A$22:$B$27,2,FALSE),2.7%),IF(A217="Renewal",100%,0%))</f>
        <v>2.7000000000000003E-2</v>
      </c>
      <c r="K217" s="2" t="s">
        <v>22</v>
      </c>
      <c r="L217" s="2">
        <v>363</v>
      </c>
      <c r="M217" s="2" t="s">
        <v>23</v>
      </c>
      <c r="N217" s="2" t="s">
        <v>24</v>
      </c>
      <c r="O217" s="4">
        <v>80932</v>
      </c>
      <c r="P217" s="4">
        <v>3373</v>
      </c>
      <c r="Q217" s="4">
        <v>27517</v>
      </c>
      <c r="R217" s="4">
        <v>108449</v>
      </c>
      <c r="S217" s="5">
        <v>0.4</v>
      </c>
      <c r="T217" s="4">
        <v>43380</v>
      </c>
      <c r="U217" s="4">
        <v>151828</v>
      </c>
      <c r="V217" s="6">
        <f t="shared" si="6"/>
        <v>4099.3560000000007</v>
      </c>
      <c r="W217" s="6">
        <f t="shared" si="7"/>
        <v>147728.644</v>
      </c>
    </row>
    <row r="218" spans="1:23" x14ac:dyDescent="0.3">
      <c r="A218" s="2" t="s">
        <v>21</v>
      </c>
      <c r="B218" s="2">
        <v>7.0030000000000001</v>
      </c>
      <c r="C218" s="2">
        <v>2000801393</v>
      </c>
      <c r="D218" s="2">
        <v>47</v>
      </c>
      <c r="E218" s="2"/>
      <c r="F218" s="2">
        <v>225</v>
      </c>
      <c r="G218" s="2">
        <v>375</v>
      </c>
      <c r="H218" s="2"/>
      <c r="I218" s="2"/>
      <c r="J218" s="3">
        <f>IF(A218="Upgrade",IF(OR(H218=4,H218=5),VLOOKUP(I218,'Renewal Rates'!$A$22:$B$27,2,FALSE),2.7%),IF(A218="Renewal",100%,0%))</f>
        <v>2.7000000000000003E-2</v>
      </c>
      <c r="K218" s="2" t="s">
        <v>22</v>
      </c>
      <c r="L218" s="2">
        <v>368</v>
      </c>
      <c r="M218" s="2" t="s">
        <v>23</v>
      </c>
      <c r="N218" s="2" t="s">
        <v>24</v>
      </c>
      <c r="O218" s="4">
        <v>96874</v>
      </c>
      <c r="P218" s="4">
        <v>2062</v>
      </c>
      <c r="Q218" s="4">
        <v>32937</v>
      </c>
      <c r="R218" s="4">
        <v>129811</v>
      </c>
      <c r="S218" s="5">
        <v>0.4</v>
      </c>
      <c r="T218" s="4">
        <v>51924</v>
      </c>
      <c r="U218" s="4">
        <v>181735</v>
      </c>
      <c r="V218" s="6">
        <f t="shared" si="6"/>
        <v>4906.8450000000003</v>
      </c>
      <c r="W218" s="6">
        <f t="shared" si="7"/>
        <v>176828.155</v>
      </c>
    </row>
    <row r="219" spans="1:23" x14ac:dyDescent="0.3">
      <c r="A219" s="2" t="s">
        <v>21</v>
      </c>
      <c r="B219" s="2">
        <v>7.0030000000000001</v>
      </c>
      <c r="C219" s="2">
        <v>2000931313</v>
      </c>
      <c r="D219" s="2">
        <v>31</v>
      </c>
      <c r="E219" s="2"/>
      <c r="F219" s="2">
        <v>225</v>
      </c>
      <c r="G219" s="2">
        <v>375</v>
      </c>
      <c r="H219" s="2"/>
      <c r="I219" s="2"/>
      <c r="J219" s="3">
        <f>IF(A219="Upgrade",IF(OR(H219=4,H219=5),VLOOKUP(I219,'Renewal Rates'!$A$22:$B$27,2,FALSE),2.7%),IF(A219="Renewal",100%,0%))</f>
        <v>2.7000000000000003E-2</v>
      </c>
      <c r="K219" s="2" t="s">
        <v>22</v>
      </c>
      <c r="L219" s="2">
        <v>368</v>
      </c>
      <c r="M219" s="2" t="s">
        <v>23</v>
      </c>
      <c r="N219" s="2" t="s">
        <v>24</v>
      </c>
      <c r="O219" s="4">
        <v>71810</v>
      </c>
      <c r="P219" s="4">
        <v>2320</v>
      </c>
      <c r="Q219" s="4">
        <v>24415</v>
      </c>
      <c r="R219" s="4">
        <v>96225</v>
      </c>
      <c r="S219" s="5">
        <v>0.4</v>
      </c>
      <c r="T219" s="4">
        <v>38490</v>
      </c>
      <c r="U219" s="4">
        <v>134716</v>
      </c>
      <c r="V219" s="6">
        <f t="shared" si="6"/>
        <v>3637.3320000000003</v>
      </c>
      <c r="W219" s="6">
        <f t="shared" si="7"/>
        <v>131078.66800000001</v>
      </c>
    </row>
    <row r="220" spans="1:23" x14ac:dyDescent="0.3">
      <c r="A220" s="2" t="s">
        <v>21</v>
      </c>
      <c r="B220" s="2">
        <v>7.0049999999999999</v>
      </c>
      <c r="C220" s="2">
        <v>2000794106</v>
      </c>
      <c r="D220" s="2">
        <v>62.5</v>
      </c>
      <c r="E220" s="2"/>
      <c r="F220" s="2">
        <v>225</v>
      </c>
      <c r="G220" s="2">
        <v>450</v>
      </c>
      <c r="H220" s="2"/>
      <c r="I220" s="2"/>
      <c r="J220" s="3">
        <f>IF(A220="Upgrade",IF(OR(H220=4,H220=5),VLOOKUP(I220,'Renewal Rates'!$A$22:$B$27,2,FALSE),2.7%),IF(A220="Renewal",100%,0%))</f>
        <v>2.7000000000000003E-2</v>
      </c>
      <c r="K220" s="2" t="s">
        <v>22</v>
      </c>
      <c r="L220" s="2">
        <v>375</v>
      </c>
      <c r="M220" s="2" t="s">
        <v>23</v>
      </c>
      <c r="N220" s="2" t="s">
        <v>24</v>
      </c>
      <c r="O220" s="4">
        <v>202408</v>
      </c>
      <c r="P220" s="4">
        <v>3238</v>
      </c>
      <c r="Q220" s="4">
        <v>68819</v>
      </c>
      <c r="R220" s="4">
        <v>271227</v>
      </c>
      <c r="S220" s="5">
        <v>0.4</v>
      </c>
      <c r="T220" s="4">
        <v>108491</v>
      </c>
      <c r="U220" s="4">
        <v>379718</v>
      </c>
      <c r="V220" s="6">
        <f t="shared" si="6"/>
        <v>10252.386</v>
      </c>
      <c r="W220" s="6">
        <f t="shared" si="7"/>
        <v>369465.614</v>
      </c>
    </row>
    <row r="221" spans="1:23" x14ac:dyDescent="0.3">
      <c r="A221" s="2" t="s">
        <v>21</v>
      </c>
      <c r="B221" s="2">
        <v>7.0019999999999998</v>
      </c>
      <c r="C221" s="2">
        <v>2000065222</v>
      </c>
      <c r="D221" s="2">
        <v>88.4</v>
      </c>
      <c r="E221" s="2"/>
      <c r="F221" s="2">
        <v>1200</v>
      </c>
      <c r="G221" s="2">
        <v>1500</v>
      </c>
      <c r="H221" s="2">
        <v>5</v>
      </c>
      <c r="I221" s="2">
        <v>3</v>
      </c>
      <c r="J221" s="3">
        <f>IF(A221="Upgrade",IF(OR(H221=4,H221=5),VLOOKUP(I221,'Renewal Rates'!$A$22:$B$27,2,FALSE),2.7%),IF(A221="Renewal",100%,0%))</f>
        <v>0.21</v>
      </c>
      <c r="K221" s="2" t="s">
        <v>28</v>
      </c>
      <c r="L221" s="2">
        <v>375</v>
      </c>
      <c r="M221" s="2" t="s">
        <v>23</v>
      </c>
      <c r="N221" s="2" t="s">
        <v>24</v>
      </c>
      <c r="O221" s="4">
        <v>744312</v>
      </c>
      <c r="P221" s="4">
        <v>8419</v>
      </c>
      <c r="Q221" s="4">
        <v>253066</v>
      </c>
      <c r="R221" s="4">
        <v>997378</v>
      </c>
      <c r="S221" s="5">
        <v>0.4</v>
      </c>
      <c r="T221" s="4">
        <v>398951</v>
      </c>
      <c r="U221" s="4">
        <v>1396329</v>
      </c>
      <c r="V221" s="6">
        <f t="shared" si="6"/>
        <v>293229.08999999997</v>
      </c>
      <c r="W221" s="6">
        <f t="shared" si="7"/>
        <v>1103099.9100000001</v>
      </c>
    </row>
    <row r="222" spans="1:23" x14ac:dyDescent="0.3">
      <c r="A222" s="2" t="s">
        <v>21</v>
      </c>
      <c r="B222" s="2">
        <v>8.0150000000000006</v>
      </c>
      <c r="C222" s="2">
        <v>2000847657</v>
      </c>
      <c r="D222" s="2"/>
      <c r="E222" s="2"/>
      <c r="F222" s="2">
        <v>525</v>
      </c>
      <c r="G222" s="2">
        <v>1200</v>
      </c>
      <c r="H222" s="2">
        <v>4</v>
      </c>
      <c r="I222" s="2">
        <v>5</v>
      </c>
      <c r="J222" s="3">
        <f>IF(A222="Upgrade",IF(OR(H222=4,H222=5),VLOOKUP(I222,'Renewal Rates'!$A$22:$B$27,2,FALSE),2.7%),IF(A222="Renewal",100%,0%))</f>
        <v>0.7</v>
      </c>
      <c r="K222" s="2" t="s">
        <v>22</v>
      </c>
      <c r="L222" s="2">
        <v>368</v>
      </c>
      <c r="M222" s="2" t="s">
        <v>23</v>
      </c>
      <c r="N222" s="2" t="s">
        <v>24</v>
      </c>
      <c r="O222" s="4">
        <v>49042</v>
      </c>
      <c r="P222" s="4">
        <v>-49042</v>
      </c>
      <c r="Q222" s="4">
        <v>16674</v>
      </c>
      <c r="R222" s="4">
        <v>65717</v>
      </c>
      <c r="S222" s="5">
        <v>0.4</v>
      </c>
      <c r="T222" s="4">
        <v>26287</v>
      </c>
      <c r="U222" s="4">
        <v>92003</v>
      </c>
      <c r="V222" s="6">
        <f t="shared" si="6"/>
        <v>64402.1</v>
      </c>
      <c r="W222" s="6">
        <f t="shared" si="7"/>
        <v>27600.9</v>
      </c>
    </row>
    <row r="223" spans="1:23" x14ac:dyDescent="0.3">
      <c r="A223" s="2" t="s">
        <v>21</v>
      </c>
      <c r="B223" s="2">
        <v>8.0139999999999993</v>
      </c>
      <c r="C223" s="2">
        <v>2000916712</v>
      </c>
      <c r="D223" s="2">
        <v>38.5</v>
      </c>
      <c r="E223" s="2"/>
      <c r="F223" s="2">
        <v>525</v>
      </c>
      <c r="G223" s="2">
        <v>1200</v>
      </c>
      <c r="H223" s="2"/>
      <c r="I223" s="2"/>
      <c r="J223" s="3">
        <f>IF(A223="Upgrade",IF(OR(H223=4,H223=5),VLOOKUP(I223,'Renewal Rates'!$A$22:$B$27,2,FALSE),2.7%),IF(A223="Renewal",100%,0%))</f>
        <v>2.7000000000000003E-2</v>
      </c>
      <c r="K223" s="2" t="s">
        <v>22</v>
      </c>
      <c r="L223" s="2">
        <v>368</v>
      </c>
      <c r="M223" s="2" t="s">
        <v>23</v>
      </c>
      <c r="N223" s="2" t="s">
        <v>24</v>
      </c>
      <c r="O223" s="4">
        <v>292550</v>
      </c>
      <c r="P223" s="4">
        <v>7602</v>
      </c>
      <c r="Q223" s="4">
        <v>99467</v>
      </c>
      <c r="R223" s="4">
        <v>392017</v>
      </c>
      <c r="S223" s="5">
        <v>0.4</v>
      </c>
      <c r="T223" s="4">
        <v>156807</v>
      </c>
      <c r="U223" s="4">
        <v>548823</v>
      </c>
      <c r="V223" s="6">
        <f t="shared" si="6"/>
        <v>14818.221000000001</v>
      </c>
      <c r="W223" s="6">
        <f t="shared" si="7"/>
        <v>534004.77899999998</v>
      </c>
    </row>
    <row r="224" spans="1:23" x14ac:dyDescent="0.3">
      <c r="A224" s="2" t="s">
        <v>21</v>
      </c>
      <c r="B224" s="2">
        <v>8.0139999999999993</v>
      </c>
      <c r="C224" s="2">
        <v>2000596072</v>
      </c>
      <c r="D224" s="2"/>
      <c r="E224" s="2"/>
      <c r="F224" s="2">
        <v>525</v>
      </c>
      <c r="G224" s="2">
        <v>1200</v>
      </c>
      <c r="H224" s="2"/>
      <c r="I224" s="2"/>
      <c r="J224" s="3">
        <f>IF(A224="Upgrade",IF(OR(H224=4,H224=5),VLOOKUP(I224,'Renewal Rates'!$A$22:$B$27,2,FALSE),2.7%),IF(A224="Renewal",100%,0%))</f>
        <v>2.7000000000000003E-2</v>
      </c>
      <c r="K224" s="2" t="s">
        <v>22</v>
      </c>
      <c r="L224" s="2">
        <v>368</v>
      </c>
      <c r="M224" s="2" t="s">
        <v>23</v>
      </c>
      <c r="N224" s="2" t="s">
        <v>24</v>
      </c>
      <c r="O224" s="4">
        <v>10042</v>
      </c>
      <c r="P224" s="4">
        <v>-10042</v>
      </c>
      <c r="Q224" s="4">
        <v>3414</v>
      </c>
      <c r="R224" s="4">
        <v>13457</v>
      </c>
      <c r="S224" s="5">
        <v>0.4</v>
      </c>
      <c r="T224" s="4">
        <v>5383</v>
      </c>
      <c r="U224" s="4">
        <v>18839</v>
      </c>
      <c r="V224" s="6">
        <f t="shared" si="6"/>
        <v>508.65300000000008</v>
      </c>
      <c r="W224" s="6">
        <f t="shared" si="7"/>
        <v>18330.347000000002</v>
      </c>
    </row>
    <row r="225" spans="1:23" x14ac:dyDescent="0.3">
      <c r="A225" s="2" t="s">
        <v>21</v>
      </c>
      <c r="B225" s="2">
        <v>8.0139999999999993</v>
      </c>
      <c r="C225" s="2">
        <v>2000461036</v>
      </c>
      <c r="D225" s="2">
        <v>48.1</v>
      </c>
      <c r="E225" s="2"/>
      <c r="F225" s="2">
        <v>525</v>
      </c>
      <c r="G225" s="2">
        <v>1200</v>
      </c>
      <c r="H225" s="2"/>
      <c r="I225" s="2"/>
      <c r="J225" s="3">
        <f>IF(A225="Upgrade",IF(OR(H225=4,H225=5),VLOOKUP(I225,'Renewal Rates'!$A$22:$B$27,2,FALSE),2.7%),IF(A225="Renewal",100%,0%))</f>
        <v>2.7000000000000003E-2</v>
      </c>
      <c r="K225" s="2" t="s">
        <v>22</v>
      </c>
      <c r="L225" s="2">
        <v>368</v>
      </c>
      <c r="M225" s="2" t="s">
        <v>23</v>
      </c>
      <c r="N225" s="2" t="s">
        <v>24</v>
      </c>
      <c r="O225" s="4">
        <v>360695</v>
      </c>
      <c r="P225" s="4">
        <v>7494</v>
      </c>
      <c r="Q225" s="4">
        <v>122636</v>
      </c>
      <c r="R225" s="4">
        <v>483332</v>
      </c>
      <c r="S225" s="5">
        <v>0.4</v>
      </c>
      <c r="T225" s="4">
        <v>193333</v>
      </c>
      <c r="U225" s="4">
        <v>676664</v>
      </c>
      <c r="V225" s="6">
        <f t="shared" si="6"/>
        <v>18269.928000000004</v>
      </c>
      <c r="W225" s="6">
        <f t="shared" si="7"/>
        <v>658394.07200000004</v>
      </c>
    </row>
    <row r="226" spans="1:23" x14ac:dyDescent="0.3">
      <c r="A226" s="2" t="s">
        <v>21</v>
      </c>
      <c r="B226" s="2">
        <v>8.0139999999999993</v>
      </c>
      <c r="C226" s="2">
        <v>2000139296</v>
      </c>
      <c r="D226" s="2">
        <v>37</v>
      </c>
      <c r="E226" s="2"/>
      <c r="F226" s="2">
        <v>525</v>
      </c>
      <c r="G226" s="2">
        <v>1200</v>
      </c>
      <c r="H226" s="2"/>
      <c r="I226" s="2"/>
      <c r="J226" s="3">
        <f>IF(A226="Upgrade",IF(OR(H226=4,H226=5),VLOOKUP(I226,'Renewal Rates'!$A$22:$B$27,2,FALSE),2.7%),IF(A226="Renewal",100%,0%))</f>
        <v>2.7000000000000003E-2</v>
      </c>
      <c r="K226" s="2" t="s">
        <v>22</v>
      </c>
      <c r="L226" s="2">
        <v>368</v>
      </c>
      <c r="M226" s="2" t="s">
        <v>23</v>
      </c>
      <c r="N226" s="2" t="s">
        <v>24</v>
      </c>
      <c r="O226" s="4">
        <v>289145</v>
      </c>
      <c r="P226" s="4">
        <v>7806</v>
      </c>
      <c r="Q226" s="4">
        <v>98309</v>
      </c>
      <c r="R226" s="4">
        <v>387454</v>
      </c>
      <c r="S226" s="5">
        <v>0.4</v>
      </c>
      <c r="T226" s="4">
        <v>154981</v>
      </c>
      <c r="U226" s="4">
        <v>542435</v>
      </c>
      <c r="V226" s="6">
        <f t="shared" si="6"/>
        <v>14645.745000000003</v>
      </c>
      <c r="W226" s="6">
        <f t="shared" si="7"/>
        <v>527789.255</v>
      </c>
    </row>
    <row r="227" spans="1:23" x14ac:dyDescent="0.3">
      <c r="A227" s="2" t="s">
        <v>21</v>
      </c>
      <c r="B227" s="2">
        <v>8.0129999999999999</v>
      </c>
      <c r="C227" s="2">
        <v>2000589306</v>
      </c>
      <c r="D227" s="2">
        <v>20.100000000000001</v>
      </c>
      <c r="E227" s="2"/>
      <c r="F227" s="2">
        <v>450</v>
      </c>
      <c r="G227" s="2">
        <v>1125</v>
      </c>
      <c r="H227" s="2"/>
      <c r="I227" s="2"/>
      <c r="J227" s="3">
        <f>IF(A227="Upgrade",IF(OR(H227=4,H227=5),VLOOKUP(I227,'Renewal Rates'!$A$22:$B$27,2,FALSE),2.7%),IF(A227="Renewal",100%,0%))</f>
        <v>2.7000000000000003E-2</v>
      </c>
      <c r="K227" s="2" t="s">
        <v>22</v>
      </c>
      <c r="L227" s="2">
        <v>368</v>
      </c>
      <c r="M227" s="2" t="s">
        <v>23</v>
      </c>
      <c r="N227" s="2" t="s">
        <v>24</v>
      </c>
      <c r="O227" s="4">
        <v>178220</v>
      </c>
      <c r="P227" s="4">
        <v>8855</v>
      </c>
      <c r="Q227" s="4">
        <v>60595</v>
      </c>
      <c r="R227" s="4">
        <v>238815</v>
      </c>
      <c r="S227" s="5">
        <v>0.4</v>
      </c>
      <c r="T227" s="4">
        <v>95526</v>
      </c>
      <c r="U227" s="4">
        <v>334341</v>
      </c>
      <c r="V227" s="6">
        <f t="shared" si="6"/>
        <v>9027.2070000000003</v>
      </c>
      <c r="W227" s="6">
        <f t="shared" si="7"/>
        <v>325313.79300000001</v>
      </c>
    </row>
    <row r="228" spans="1:23" x14ac:dyDescent="0.3">
      <c r="A228" s="2" t="s">
        <v>21</v>
      </c>
      <c r="B228" s="2">
        <v>8.0129999999999999</v>
      </c>
      <c r="C228" s="2">
        <v>2000106312</v>
      </c>
      <c r="D228" s="2">
        <v>4.9000000000000004</v>
      </c>
      <c r="E228" s="2"/>
      <c r="F228" s="2">
        <v>450</v>
      </c>
      <c r="G228" s="2">
        <v>1125</v>
      </c>
      <c r="H228" s="2"/>
      <c r="I228" s="2"/>
      <c r="J228" s="3">
        <f>IF(A228="Upgrade",IF(OR(H228=4,H228=5),VLOOKUP(I228,'Renewal Rates'!$A$22:$B$27,2,FALSE),2.7%),IF(A228="Renewal",100%,0%))</f>
        <v>2.7000000000000003E-2</v>
      </c>
      <c r="K228" s="2" t="s">
        <v>22</v>
      </c>
      <c r="L228" s="2">
        <v>368</v>
      </c>
      <c r="M228" s="2" t="s">
        <v>23</v>
      </c>
      <c r="N228" s="2" t="s">
        <v>24</v>
      </c>
      <c r="O228" s="4">
        <v>76721</v>
      </c>
      <c r="P228" s="4">
        <v>15774</v>
      </c>
      <c r="Q228" s="4">
        <v>26085</v>
      </c>
      <c r="R228" s="4">
        <v>102806</v>
      </c>
      <c r="S228" s="5">
        <v>0.4</v>
      </c>
      <c r="T228" s="4">
        <v>41122</v>
      </c>
      <c r="U228" s="4">
        <v>143928</v>
      </c>
      <c r="V228" s="6">
        <f t="shared" si="6"/>
        <v>3886.0560000000005</v>
      </c>
      <c r="W228" s="6">
        <f t="shared" si="7"/>
        <v>140041.94399999999</v>
      </c>
    </row>
    <row r="229" spans="1:23" x14ac:dyDescent="0.3">
      <c r="A229" s="2" t="s">
        <v>21</v>
      </c>
      <c r="B229" s="2">
        <v>8.0129999999999999</v>
      </c>
      <c r="C229" s="2">
        <v>2000613177</v>
      </c>
      <c r="D229" s="2">
        <v>4.5</v>
      </c>
      <c r="E229" s="2"/>
      <c r="F229" s="2">
        <v>450</v>
      </c>
      <c r="G229" s="2">
        <v>1125</v>
      </c>
      <c r="H229" s="2"/>
      <c r="I229" s="2"/>
      <c r="J229" s="3">
        <f>IF(A229="Upgrade",IF(OR(H229=4,H229=5),VLOOKUP(I229,'Renewal Rates'!$A$22:$B$27,2,FALSE),2.7%),IF(A229="Renewal",100%,0%))</f>
        <v>2.7000000000000003E-2</v>
      </c>
      <c r="K229" s="2" t="s">
        <v>22</v>
      </c>
      <c r="L229" s="2">
        <v>368</v>
      </c>
      <c r="M229" s="2" t="s">
        <v>23</v>
      </c>
      <c r="N229" s="2" t="s">
        <v>24</v>
      </c>
      <c r="O229" s="4">
        <v>75927</v>
      </c>
      <c r="P229" s="4">
        <v>16867</v>
      </c>
      <c r="Q229" s="4">
        <v>25815</v>
      </c>
      <c r="R229" s="4">
        <v>101742</v>
      </c>
      <c r="S229" s="5">
        <v>0.4</v>
      </c>
      <c r="T229" s="4">
        <v>40697</v>
      </c>
      <c r="U229" s="4">
        <v>142439</v>
      </c>
      <c r="V229" s="6">
        <f t="shared" si="6"/>
        <v>3845.8530000000005</v>
      </c>
      <c r="W229" s="6">
        <f t="shared" si="7"/>
        <v>138593.147</v>
      </c>
    </row>
    <row r="230" spans="1:23" x14ac:dyDescent="0.3">
      <c r="A230" s="2" t="s">
        <v>21</v>
      </c>
      <c r="B230" s="2">
        <v>8.0129999999999999</v>
      </c>
      <c r="C230" s="2">
        <v>2000731996</v>
      </c>
      <c r="D230" s="2">
        <v>18.399999999999999</v>
      </c>
      <c r="E230" s="2"/>
      <c r="F230" s="2">
        <v>450</v>
      </c>
      <c r="G230" s="2">
        <v>1125</v>
      </c>
      <c r="H230" s="2"/>
      <c r="I230" s="2"/>
      <c r="J230" s="3">
        <f>IF(A230="Upgrade",IF(OR(H230=4,H230=5),VLOOKUP(I230,'Renewal Rates'!$A$22:$B$27,2,FALSE),2.7%),IF(A230="Renewal",100%,0%))</f>
        <v>2.7000000000000003E-2</v>
      </c>
      <c r="K230" s="2" t="s">
        <v>22</v>
      </c>
      <c r="L230" s="2">
        <v>368</v>
      </c>
      <c r="M230" s="2" t="s">
        <v>23</v>
      </c>
      <c r="N230" s="2" t="s">
        <v>24</v>
      </c>
      <c r="O230" s="4">
        <v>190689</v>
      </c>
      <c r="P230" s="4">
        <v>10380</v>
      </c>
      <c r="Q230" s="4">
        <v>64834</v>
      </c>
      <c r="R230" s="4">
        <v>255524</v>
      </c>
      <c r="S230" s="5">
        <v>0.4</v>
      </c>
      <c r="T230" s="4">
        <v>102209</v>
      </c>
      <c r="U230" s="4">
        <v>357733</v>
      </c>
      <c r="V230" s="6">
        <f t="shared" si="6"/>
        <v>9658.7910000000011</v>
      </c>
      <c r="W230" s="6">
        <f t="shared" si="7"/>
        <v>348074.20899999997</v>
      </c>
    </row>
    <row r="231" spans="1:23" x14ac:dyDescent="0.3">
      <c r="A231" s="2" t="s">
        <v>21</v>
      </c>
      <c r="B231" s="2">
        <v>8.0129999999999999</v>
      </c>
      <c r="C231" s="2">
        <v>2000687142</v>
      </c>
      <c r="D231" s="2">
        <v>11.9</v>
      </c>
      <c r="E231" s="2"/>
      <c r="F231" s="2">
        <v>450</v>
      </c>
      <c r="G231" s="2">
        <v>1125</v>
      </c>
      <c r="H231" s="2"/>
      <c r="I231" s="2"/>
      <c r="J231" s="3">
        <f>IF(A231="Upgrade",IF(OR(H231=4,H231=5),VLOOKUP(I231,'Renewal Rates'!$A$22:$B$27,2,FALSE),2.7%),IF(A231="Renewal",100%,0%))</f>
        <v>2.7000000000000003E-2</v>
      </c>
      <c r="K231" s="2" t="s">
        <v>22</v>
      </c>
      <c r="L231" s="2">
        <v>368</v>
      </c>
      <c r="M231" s="2" t="s">
        <v>23</v>
      </c>
      <c r="N231" s="2" t="s">
        <v>24</v>
      </c>
      <c r="O231" s="4">
        <v>153812</v>
      </c>
      <c r="P231" s="4">
        <v>12931</v>
      </c>
      <c r="Q231" s="4">
        <v>52296</v>
      </c>
      <c r="R231" s="4">
        <v>206108</v>
      </c>
      <c r="S231" s="5">
        <v>0.4</v>
      </c>
      <c r="T231" s="4">
        <v>82443</v>
      </c>
      <c r="U231" s="4">
        <v>288551</v>
      </c>
      <c r="V231" s="6">
        <f t="shared" si="6"/>
        <v>7790.8770000000013</v>
      </c>
      <c r="W231" s="6">
        <f t="shared" si="7"/>
        <v>280760.12300000002</v>
      </c>
    </row>
    <row r="232" spans="1:23" x14ac:dyDescent="0.3">
      <c r="A232" s="2" t="s">
        <v>21</v>
      </c>
      <c r="B232" s="2">
        <v>8.0220000000000002</v>
      </c>
      <c r="C232" s="2">
        <v>2000869006</v>
      </c>
      <c r="D232" s="2">
        <v>59.3</v>
      </c>
      <c r="E232" s="2"/>
      <c r="F232" s="2">
        <v>375</v>
      </c>
      <c r="G232" s="2">
        <v>825</v>
      </c>
      <c r="H232" s="2">
        <v>4</v>
      </c>
      <c r="I232" s="2">
        <v>3</v>
      </c>
      <c r="J232" s="3">
        <f>IF(A232="Upgrade",IF(OR(H232=4,H232=5),VLOOKUP(I232,'Renewal Rates'!$A$22:$B$27,2,FALSE),2.7%),IF(A232="Renewal",100%,0%))</f>
        <v>0.21</v>
      </c>
      <c r="K232" s="2" t="s">
        <v>22</v>
      </c>
      <c r="L232" s="2">
        <v>368</v>
      </c>
      <c r="M232" s="2" t="s">
        <v>23</v>
      </c>
      <c r="N232" s="2" t="s">
        <v>24</v>
      </c>
      <c r="O232" s="4">
        <v>280124</v>
      </c>
      <c r="P232" s="4">
        <v>4723</v>
      </c>
      <c r="Q232" s="4">
        <v>95242</v>
      </c>
      <c r="R232" s="4">
        <v>375366</v>
      </c>
      <c r="S232" s="5">
        <v>0.4</v>
      </c>
      <c r="T232" s="4">
        <v>150146</v>
      </c>
      <c r="U232" s="4">
        <v>525512</v>
      </c>
      <c r="V232" s="6">
        <f t="shared" si="6"/>
        <v>110357.51999999999</v>
      </c>
      <c r="W232" s="6">
        <f t="shared" si="7"/>
        <v>415154.48</v>
      </c>
    </row>
    <row r="233" spans="1:23" x14ac:dyDescent="0.3">
      <c r="A233" s="2" t="s">
        <v>21</v>
      </c>
      <c r="B233" s="2">
        <v>8.01</v>
      </c>
      <c r="C233" s="2">
        <v>2000478148</v>
      </c>
      <c r="D233" s="2">
        <v>52.8</v>
      </c>
      <c r="E233" s="2"/>
      <c r="F233" s="2">
        <v>375</v>
      </c>
      <c r="G233" s="2">
        <v>750</v>
      </c>
      <c r="H233" s="2">
        <v>4</v>
      </c>
      <c r="I233" s="2">
        <v>1</v>
      </c>
      <c r="J233" s="3">
        <f>IF(A233="Upgrade",IF(OR(H233=4,H233=5),VLOOKUP(I233,'Renewal Rates'!$A$22:$B$27,2,FALSE),2.7%),IF(A233="Renewal",100%,0%))</f>
        <v>0</v>
      </c>
      <c r="K233" s="2" t="s">
        <v>22</v>
      </c>
      <c r="L233" s="2">
        <v>368</v>
      </c>
      <c r="M233" s="2" t="s">
        <v>23</v>
      </c>
      <c r="N233" s="2" t="s">
        <v>24</v>
      </c>
      <c r="O233" s="4">
        <v>243073</v>
      </c>
      <c r="P233" s="4">
        <v>4600</v>
      </c>
      <c r="Q233" s="4">
        <v>82645</v>
      </c>
      <c r="R233" s="4">
        <v>325718</v>
      </c>
      <c r="S233" s="5">
        <v>0.4</v>
      </c>
      <c r="T233" s="4">
        <v>130287</v>
      </c>
      <c r="U233" s="4">
        <v>456005</v>
      </c>
      <c r="V233" s="6">
        <f t="shared" si="6"/>
        <v>0</v>
      </c>
      <c r="W233" s="6">
        <f t="shared" si="7"/>
        <v>456005</v>
      </c>
    </row>
    <row r="234" spans="1:23" x14ac:dyDescent="0.3">
      <c r="A234" s="2" t="s">
        <v>21</v>
      </c>
      <c r="B234" s="2">
        <v>8.01</v>
      </c>
      <c r="C234" s="2">
        <v>3000022410</v>
      </c>
      <c r="D234" s="2">
        <v>2.8</v>
      </c>
      <c r="E234" s="2"/>
      <c r="F234" s="2">
        <v>450</v>
      </c>
      <c r="G234" s="2">
        <v>750</v>
      </c>
      <c r="H234" s="2"/>
      <c r="I234" s="2"/>
      <c r="J234" s="3">
        <f>IF(A234="Upgrade",IF(OR(H234=4,H234=5),VLOOKUP(I234,'Renewal Rates'!$A$22:$B$27,2,FALSE),2.7%),IF(A234="Renewal",100%,0%))</f>
        <v>2.7000000000000003E-2</v>
      </c>
      <c r="K234" s="2" t="s">
        <v>22</v>
      </c>
      <c r="L234" s="2">
        <v>368</v>
      </c>
      <c r="M234" s="2" t="s">
        <v>23</v>
      </c>
      <c r="N234" s="2" t="s">
        <v>24</v>
      </c>
      <c r="O234" s="4">
        <v>53290</v>
      </c>
      <c r="P234" s="4">
        <v>19355</v>
      </c>
      <c r="Q234" s="4">
        <v>18119</v>
      </c>
      <c r="R234" s="4">
        <v>71409</v>
      </c>
      <c r="S234" s="5">
        <v>0.4</v>
      </c>
      <c r="T234" s="4">
        <v>28564</v>
      </c>
      <c r="U234" s="4">
        <v>99973</v>
      </c>
      <c r="V234" s="6">
        <f t="shared" si="6"/>
        <v>2699.2710000000002</v>
      </c>
      <c r="W234" s="6">
        <f t="shared" si="7"/>
        <v>97273.729000000007</v>
      </c>
    </row>
    <row r="235" spans="1:23" x14ac:dyDescent="0.3">
      <c r="A235" s="2" t="s">
        <v>21</v>
      </c>
      <c r="B235" s="2">
        <v>8.01</v>
      </c>
      <c r="C235" s="2">
        <v>3000022411</v>
      </c>
      <c r="D235" s="2">
        <v>14.7</v>
      </c>
      <c r="E235" s="2"/>
      <c r="F235" s="2">
        <v>450</v>
      </c>
      <c r="G235" s="2">
        <v>750</v>
      </c>
      <c r="H235" s="2"/>
      <c r="I235" s="2"/>
      <c r="J235" s="3">
        <f>IF(A235="Upgrade",IF(OR(H235=4,H235=5),VLOOKUP(I235,'Renewal Rates'!$A$22:$B$27,2,FALSE),2.7%),IF(A235="Renewal",100%,0%))</f>
        <v>2.7000000000000003E-2</v>
      </c>
      <c r="K235" s="2" t="s">
        <v>22</v>
      </c>
      <c r="L235" s="2">
        <v>368</v>
      </c>
      <c r="M235" s="2" t="s">
        <v>23</v>
      </c>
      <c r="N235" s="2" t="s">
        <v>24</v>
      </c>
      <c r="O235" s="4">
        <v>88953</v>
      </c>
      <c r="P235" s="4">
        <v>6057</v>
      </c>
      <c r="Q235" s="4">
        <v>30244</v>
      </c>
      <c r="R235" s="4">
        <v>119197</v>
      </c>
      <c r="S235" s="5">
        <v>0.4</v>
      </c>
      <c r="T235" s="4">
        <v>47679</v>
      </c>
      <c r="U235" s="4">
        <v>166876</v>
      </c>
      <c r="V235" s="6">
        <f t="shared" si="6"/>
        <v>4505.652000000001</v>
      </c>
      <c r="W235" s="6">
        <f t="shared" si="7"/>
        <v>162370.348</v>
      </c>
    </row>
    <row r="236" spans="1:23" x14ac:dyDescent="0.3">
      <c r="A236" s="2" t="s">
        <v>21</v>
      </c>
      <c r="B236" s="2">
        <v>8.01</v>
      </c>
      <c r="C236" s="2">
        <v>3000022409</v>
      </c>
      <c r="D236" s="2">
        <v>14.2</v>
      </c>
      <c r="E236" s="2"/>
      <c r="F236" s="2">
        <v>450</v>
      </c>
      <c r="G236" s="2">
        <v>750</v>
      </c>
      <c r="H236" s="2"/>
      <c r="I236" s="2"/>
      <c r="J236" s="3">
        <f>IF(A236="Upgrade",IF(OR(H236=4,H236=5),VLOOKUP(I236,'Renewal Rates'!$A$22:$B$27,2,FALSE),2.7%),IF(A236="Renewal",100%,0%))</f>
        <v>2.7000000000000003E-2</v>
      </c>
      <c r="K236" s="2" t="s">
        <v>22</v>
      </c>
      <c r="L236" s="2">
        <v>368</v>
      </c>
      <c r="M236" s="2" t="s">
        <v>23</v>
      </c>
      <c r="N236" s="2" t="s">
        <v>24</v>
      </c>
      <c r="O236" s="4">
        <v>88311</v>
      </c>
      <c r="P236" s="4">
        <v>6213</v>
      </c>
      <c r="Q236" s="4">
        <v>30026</v>
      </c>
      <c r="R236" s="4">
        <v>118337</v>
      </c>
      <c r="S236" s="5">
        <v>0.4</v>
      </c>
      <c r="T236" s="4">
        <v>47335</v>
      </c>
      <c r="U236" s="4">
        <v>165672</v>
      </c>
      <c r="V236" s="6">
        <f t="shared" si="6"/>
        <v>4473.1440000000002</v>
      </c>
      <c r="W236" s="6">
        <f t="shared" si="7"/>
        <v>161198.856</v>
      </c>
    </row>
    <row r="237" spans="1:23" x14ac:dyDescent="0.3">
      <c r="A237" s="2" t="s">
        <v>21</v>
      </c>
      <c r="B237" s="2">
        <v>8.01</v>
      </c>
      <c r="C237" s="2">
        <v>2000469467</v>
      </c>
      <c r="D237" s="2">
        <v>20.9</v>
      </c>
      <c r="E237" s="2"/>
      <c r="F237" s="2">
        <v>300</v>
      </c>
      <c r="G237" s="2">
        <v>750</v>
      </c>
      <c r="H237" s="2"/>
      <c r="I237" s="2"/>
      <c r="J237" s="3">
        <f>IF(A237="Upgrade",IF(OR(H237=4,H237=5),VLOOKUP(I237,'Renewal Rates'!$A$22:$B$27,2,FALSE),2.7%),IF(A237="Renewal",100%,0%))</f>
        <v>2.7000000000000003E-2</v>
      </c>
      <c r="K237" s="2" t="s">
        <v>22</v>
      </c>
      <c r="L237" s="2">
        <v>368</v>
      </c>
      <c r="M237" s="2" t="s">
        <v>23</v>
      </c>
      <c r="N237" s="2" t="s">
        <v>24</v>
      </c>
      <c r="O237" s="4">
        <v>116783</v>
      </c>
      <c r="P237" s="4">
        <v>5599</v>
      </c>
      <c r="Q237" s="4">
        <v>39706</v>
      </c>
      <c r="R237" s="4">
        <v>156489</v>
      </c>
      <c r="S237" s="5">
        <v>0.4</v>
      </c>
      <c r="T237" s="4">
        <v>62596</v>
      </c>
      <c r="U237" s="4">
        <v>219085</v>
      </c>
      <c r="V237" s="6">
        <f t="shared" si="6"/>
        <v>5915.295000000001</v>
      </c>
      <c r="W237" s="6">
        <f t="shared" si="7"/>
        <v>213169.70499999999</v>
      </c>
    </row>
    <row r="238" spans="1:23" x14ac:dyDescent="0.3">
      <c r="A238" s="2" t="s">
        <v>21</v>
      </c>
      <c r="B238" s="2">
        <v>8.0090000000000003</v>
      </c>
      <c r="C238" s="2">
        <v>2000232348</v>
      </c>
      <c r="D238" s="2">
        <v>15</v>
      </c>
      <c r="E238" s="2"/>
      <c r="F238" s="2">
        <v>300</v>
      </c>
      <c r="G238" s="2">
        <v>600</v>
      </c>
      <c r="H238" s="2"/>
      <c r="I238" s="2"/>
      <c r="J238" s="3">
        <f>IF(A238="Upgrade",IF(OR(H238=4,H238=5),VLOOKUP(I238,'Renewal Rates'!$A$22:$B$27,2,FALSE),2.7%),IF(A238="Renewal",100%,0%))</f>
        <v>2.7000000000000003E-2</v>
      </c>
      <c r="K238" s="2" t="s">
        <v>22</v>
      </c>
      <c r="L238" s="2">
        <v>368</v>
      </c>
      <c r="M238" s="2" t="s">
        <v>23</v>
      </c>
      <c r="N238" s="2" t="s">
        <v>24</v>
      </c>
      <c r="O238" s="4">
        <v>78379</v>
      </c>
      <c r="P238" s="4">
        <v>5236</v>
      </c>
      <c r="Q238" s="4">
        <v>26649</v>
      </c>
      <c r="R238" s="4">
        <v>105028</v>
      </c>
      <c r="S238" s="5">
        <v>0.4</v>
      </c>
      <c r="T238" s="4">
        <v>42011</v>
      </c>
      <c r="U238" s="4">
        <v>147039</v>
      </c>
      <c r="V238" s="6">
        <f t="shared" si="6"/>
        <v>3970.0530000000003</v>
      </c>
      <c r="W238" s="6">
        <f t="shared" si="7"/>
        <v>143068.94699999999</v>
      </c>
    </row>
    <row r="239" spans="1:23" x14ac:dyDescent="0.3">
      <c r="A239" s="2" t="s">
        <v>21</v>
      </c>
      <c r="B239" s="2">
        <v>8.0090000000000003</v>
      </c>
      <c r="C239" s="2">
        <v>2000060161</v>
      </c>
      <c r="D239" s="2">
        <v>26.5</v>
      </c>
      <c r="E239" s="2"/>
      <c r="F239" s="2">
        <v>300</v>
      </c>
      <c r="G239" s="2">
        <v>600</v>
      </c>
      <c r="H239" s="2"/>
      <c r="I239" s="2"/>
      <c r="J239" s="3">
        <f>IF(A239="Upgrade",IF(OR(H239=4,H239=5),VLOOKUP(I239,'Renewal Rates'!$A$22:$B$27,2,FALSE),2.7%),IF(A239="Renewal",100%,0%))</f>
        <v>2.7000000000000003E-2</v>
      </c>
      <c r="K239" s="2" t="s">
        <v>22</v>
      </c>
      <c r="L239" s="2">
        <v>368</v>
      </c>
      <c r="M239" s="2" t="s">
        <v>23</v>
      </c>
      <c r="N239" s="2" t="s">
        <v>24</v>
      </c>
      <c r="O239" s="4">
        <v>109758</v>
      </c>
      <c r="P239" s="4">
        <v>4139</v>
      </c>
      <c r="Q239" s="4">
        <v>37318</v>
      </c>
      <c r="R239" s="4">
        <v>147075</v>
      </c>
      <c r="S239" s="5">
        <v>0.4</v>
      </c>
      <c r="T239" s="4">
        <v>58830</v>
      </c>
      <c r="U239" s="4">
        <v>205905</v>
      </c>
      <c r="V239" s="6">
        <f t="shared" si="6"/>
        <v>5559.4350000000004</v>
      </c>
      <c r="W239" s="6">
        <f t="shared" si="7"/>
        <v>200345.565</v>
      </c>
    </row>
    <row r="240" spans="1:23" x14ac:dyDescent="0.3">
      <c r="A240" s="2" t="s">
        <v>21</v>
      </c>
      <c r="B240" s="2">
        <v>8.0090000000000003</v>
      </c>
      <c r="C240" s="2">
        <v>2000565380</v>
      </c>
      <c r="D240" s="2">
        <v>6.3</v>
      </c>
      <c r="E240" s="2"/>
      <c r="F240" s="2">
        <v>300</v>
      </c>
      <c r="G240" s="2">
        <v>600</v>
      </c>
      <c r="H240" s="2"/>
      <c r="I240" s="2"/>
      <c r="J240" s="3">
        <f>IF(A240="Upgrade",IF(OR(H240=4,H240=5),VLOOKUP(I240,'Renewal Rates'!$A$22:$B$27,2,FALSE),2.7%),IF(A240="Renewal",100%,0%))</f>
        <v>2.7000000000000003E-2</v>
      </c>
      <c r="K240" s="2" t="s">
        <v>22</v>
      </c>
      <c r="L240" s="2">
        <v>368</v>
      </c>
      <c r="M240" s="2" t="s">
        <v>23</v>
      </c>
      <c r="N240" s="2" t="s">
        <v>24</v>
      </c>
      <c r="O240" s="4">
        <v>66363</v>
      </c>
      <c r="P240" s="4">
        <v>10521</v>
      </c>
      <c r="Q240" s="4">
        <v>22563</v>
      </c>
      <c r="R240" s="4">
        <v>88926</v>
      </c>
      <c r="S240" s="5">
        <v>0.4</v>
      </c>
      <c r="T240" s="4">
        <v>35570</v>
      </c>
      <c r="U240" s="4">
        <v>124496</v>
      </c>
      <c r="V240" s="6">
        <f t="shared" si="6"/>
        <v>3361.3920000000003</v>
      </c>
      <c r="W240" s="6">
        <f t="shared" si="7"/>
        <v>121134.60799999999</v>
      </c>
    </row>
    <row r="241" spans="1:23" x14ac:dyDescent="0.3">
      <c r="A241" s="2" t="s">
        <v>21</v>
      </c>
      <c r="B241" s="2">
        <v>8.0090000000000003</v>
      </c>
      <c r="C241" s="2">
        <v>2000046650</v>
      </c>
      <c r="D241" s="2">
        <v>36</v>
      </c>
      <c r="E241" s="2"/>
      <c r="F241" s="2">
        <v>450</v>
      </c>
      <c r="G241" s="2">
        <v>600</v>
      </c>
      <c r="H241" s="2">
        <v>4</v>
      </c>
      <c r="I241" s="2">
        <v>2</v>
      </c>
      <c r="J241" s="3">
        <f>IF(A241="Upgrade",IF(OR(H241=4,H241=5),VLOOKUP(I241,'Renewal Rates'!$A$22:$B$27,2,FALSE),2.7%),IF(A241="Renewal",100%,0%))</f>
        <v>0</v>
      </c>
      <c r="K241" s="2" t="s">
        <v>22</v>
      </c>
      <c r="L241" s="2">
        <v>368</v>
      </c>
      <c r="M241" s="2" t="s">
        <v>23</v>
      </c>
      <c r="N241" s="2" t="s">
        <v>24</v>
      </c>
      <c r="O241" s="4">
        <v>155422</v>
      </c>
      <c r="P241" s="4">
        <v>4313</v>
      </c>
      <c r="Q241" s="4">
        <v>52843</v>
      </c>
      <c r="R241" s="4">
        <v>208265</v>
      </c>
      <c r="S241" s="5">
        <v>0.4</v>
      </c>
      <c r="T241" s="4">
        <v>83306</v>
      </c>
      <c r="U241" s="4">
        <v>291571</v>
      </c>
      <c r="V241" s="6">
        <f t="shared" si="6"/>
        <v>0</v>
      </c>
      <c r="W241" s="6">
        <f t="shared" si="7"/>
        <v>291571</v>
      </c>
    </row>
    <row r="242" spans="1:23" x14ac:dyDescent="0.3">
      <c r="A242" s="2" t="s">
        <v>21</v>
      </c>
      <c r="B242" s="2">
        <v>8.0079999999999991</v>
      </c>
      <c r="C242" s="2">
        <v>2000809929</v>
      </c>
      <c r="D242" s="2">
        <v>9.1</v>
      </c>
      <c r="E242" s="2"/>
      <c r="F242" s="2">
        <v>300</v>
      </c>
      <c r="G242" s="2">
        <v>600</v>
      </c>
      <c r="H242" s="2"/>
      <c r="I242" s="2"/>
      <c r="J242" s="3">
        <f>IF(A242="Upgrade",IF(OR(H242=4,H242=5),VLOOKUP(I242,'Renewal Rates'!$A$22:$B$27,2,FALSE),2.7%),IF(A242="Renewal",100%,0%))</f>
        <v>2.7000000000000003E-2</v>
      </c>
      <c r="K242" s="2" t="s">
        <v>22</v>
      </c>
      <c r="L242" s="2">
        <v>368</v>
      </c>
      <c r="M242" s="2" t="s">
        <v>23</v>
      </c>
      <c r="N242" s="2" t="s">
        <v>24</v>
      </c>
      <c r="O242" s="4">
        <v>52827</v>
      </c>
      <c r="P242" s="4">
        <v>5832</v>
      </c>
      <c r="Q242" s="4">
        <v>17961</v>
      </c>
      <c r="R242" s="4">
        <v>70789</v>
      </c>
      <c r="S242" s="5">
        <v>0.4</v>
      </c>
      <c r="T242" s="4">
        <v>28315</v>
      </c>
      <c r="U242" s="4">
        <v>99104</v>
      </c>
      <c r="V242" s="6">
        <f t="shared" si="6"/>
        <v>2675.8080000000004</v>
      </c>
      <c r="W242" s="6">
        <f t="shared" si="7"/>
        <v>96428.191999999995</v>
      </c>
    </row>
    <row r="243" spans="1:23" x14ac:dyDescent="0.3">
      <c r="A243" s="2" t="s">
        <v>21</v>
      </c>
      <c r="B243" s="2">
        <v>8.0079999999999991</v>
      </c>
      <c r="C243" s="2">
        <v>2000367801</v>
      </c>
      <c r="D243" s="2">
        <v>31.4</v>
      </c>
      <c r="E243" s="2"/>
      <c r="F243" s="2">
        <v>300</v>
      </c>
      <c r="G243" s="2">
        <v>600</v>
      </c>
      <c r="H243" s="2"/>
      <c r="I243" s="2"/>
      <c r="J243" s="3">
        <f>IF(A243="Upgrade",IF(OR(H243=4,H243=5),VLOOKUP(I243,'Renewal Rates'!$A$22:$B$27,2,FALSE),2.7%),IF(A243="Renewal",100%,0%))</f>
        <v>2.7000000000000003E-2</v>
      </c>
      <c r="K243" s="2" t="s">
        <v>22</v>
      </c>
      <c r="L243" s="2">
        <v>368</v>
      </c>
      <c r="M243" s="2" t="s">
        <v>23</v>
      </c>
      <c r="N243" s="2" t="s">
        <v>24</v>
      </c>
      <c r="O243" s="4">
        <v>114799</v>
      </c>
      <c r="P243" s="4">
        <v>3657</v>
      </c>
      <c r="Q243" s="4">
        <v>39032</v>
      </c>
      <c r="R243" s="4">
        <v>153830</v>
      </c>
      <c r="S243" s="5">
        <v>0.4</v>
      </c>
      <c r="T243" s="4">
        <v>61532</v>
      </c>
      <c r="U243" s="4">
        <v>215362</v>
      </c>
      <c r="V243" s="6">
        <f t="shared" si="6"/>
        <v>5814.7740000000003</v>
      </c>
      <c r="W243" s="6">
        <f t="shared" si="7"/>
        <v>209547.226</v>
      </c>
    </row>
    <row r="244" spans="1:23" x14ac:dyDescent="0.3">
      <c r="A244" s="2" t="s">
        <v>21</v>
      </c>
      <c r="B244" s="2">
        <v>8.0079999999999991</v>
      </c>
      <c r="C244" s="2">
        <v>2000589600</v>
      </c>
      <c r="D244" s="2">
        <v>19</v>
      </c>
      <c r="E244" s="2"/>
      <c r="F244" s="2">
        <v>300</v>
      </c>
      <c r="G244" s="2">
        <v>600</v>
      </c>
      <c r="H244" s="2">
        <v>4</v>
      </c>
      <c r="I244" s="2">
        <v>4</v>
      </c>
      <c r="J244" s="3">
        <f>IF(A244="Upgrade",IF(OR(H244=4,H244=5),VLOOKUP(I244,'Renewal Rates'!$A$22:$B$27,2,FALSE),2.7%),IF(A244="Renewal",100%,0%))</f>
        <v>0.7</v>
      </c>
      <c r="K244" s="2" t="s">
        <v>22</v>
      </c>
      <c r="L244" s="2">
        <v>368</v>
      </c>
      <c r="M244" s="2" t="s">
        <v>23</v>
      </c>
      <c r="N244" s="2" t="s">
        <v>24</v>
      </c>
      <c r="O244" s="4">
        <v>82575</v>
      </c>
      <c r="P244" s="4">
        <v>4340</v>
      </c>
      <c r="Q244" s="4">
        <v>28075</v>
      </c>
      <c r="R244" s="4">
        <v>110650</v>
      </c>
      <c r="S244" s="5">
        <v>0.4</v>
      </c>
      <c r="T244" s="4">
        <v>44260</v>
      </c>
      <c r="U244" s="4">
        <v>154911</v>
      </c>
      <c r="V244" s="6">
        <f t="shared" si="6"/>
        <v>108437.7</v>
      </c>
      <c r="W244" s="6">
        <f t="shared" si="7"/>
        <v>46473.3</v>
      </c>
    </row>
    <row r="245" spans="1:23" x14ac:dyDescent="0.3">
      <c r="A245" s="2" t="s">
        <v>21</v>
      </c>
      <c r="B245" s="2">
        <v>8.0069999999999997</v>
      </c>
      <c r="C245" s="2">
        <v>2000147440</v>
      </c>
      <c r="D245" s="2">
        <v>28.7</v>
      </c>
      <c r="E245" s="2"/>
      <c r="F245" s="2">
        <v>225</v>
      </c>
      <c r="G245" s="2">
        <v>450</v>
      </c>
      <c r="H245" s="2"/>
      <c r="I245" s="2"/>
      <c r="J245" s="3">
        <f>IF(A245="Upgrade",IF(OR(H245=4,H245=5),VLOOKUP(I245,'Renewal Rates'!$A$22:$B$27,2,FALSE),2.7%),IF(A245="Renewal",100%,0%))</f>
        <v>2.7000000000000003E-2</v>
      </c>
      <c r="K245" s="2" t="s">
        <v>22</v>
      </c>
      <c r="L245" s="2">
        <v>368</v>
      </c>
      <c r="M245" s="2" t="s">
        <v>23</v>
      </c>
      <c r="N245" s="2" t="s">
        <v>24</v>
      </c>
      <c r="O245" s="4">
        <v>84306</v>
      </c>
      <c r="P245" s="4">
        <v>2934</v>
      </c>
      <c r="Q245" s="4">
        <v>28664</v>
      </c>
      <c r="R245" s="4">
        <v>112971</v>
      </c>
      <c r="S245" s="5">
        <v>0.4</v>
      </c>
      <c r="T245" s="4">
        <v>45188</v>
      </c>
      <c r="U245" s="4">
        <v>158159</v>
      </c>
      <c r="V245" s="6">
        <f t="shared" si="6"/>
        <v>4270.2930000000006</v>
      </c>
      <c r="W245" s="6">
        <f t="shared" si="7"/>
        <v>153888.70699999999</v>
      </c>
    </row>
    <row r="246" spans="1:23" x14ac:dyDescent="0.3">
      <c r="A246" s="2" t="s">
        <v>21</v>
      </c>
      <c r="B246" s="2">
        <v>8.0069999999999997</v>
      </c>
      <c r="C246" s="2">
        <v>2000514504</v>
      </c>
      <c r="D246" s="2">
        <v>36.5</v>
      </c>
      <c r="E246" s="2"/>
      <c r="F246" s="2">
        <v>225</v>
      </c>
      <c r="G246" s="2">
        <v>450</v>
      </c>
      <c r="H246" s="2"/>
      <c r="I246" s="2"/>
      <c r="J246" s="3">
        <f>IF(A246="Upgrade",IF(OR(H246=4,H246=5),VLOOKUP(I246,'Renewal Rates'!$A$22:$B$27,2,FALSE),2.7%),IF(A246="Renewal",100%,0%))</f>
        <v>2.7000000000000003E-2</v>
      </c>
      <c r="K246" s="2" t="s">
        <v>22</v>
      </c>
      <c r="L246" s="2">
        <v>368</v>
      </c>
      <c r="M246" s="2" t="s">
        <v>23</v>
      </c>
      <c r="N246" s="2" t="s">
        <v>24</v>
      </c>
      <c r="O246" s="4">
        <v>109287</v>
      </c>
      <c r="P246" s="4">
        <v>2994</v>
      </c>
      <c r="Q246" s="4">
        <v>37158</v>
      </c>
      <c r="R246" s="4">
        <v>146445</v>
      </c>
      <c r="S246" s="5">
        <v>0.4</v>
      </c>
      <c r="T246" s="4">
        <v>58578</v>
      </c>
      <c r="U246" s="4">
        <v>205023</v>
      </c>
      <c r="V246" s="6">
        <f t="shared" si="6"/>
        <v>5535.621000000001</v>
      </c>
      <c r="W246" s="6">
        <f t="shared" si="7"/>
        <v>199487.37899999999</v>
      </c>
    </row>
    <row r="247" spans="1:23" x14ac:dyDescent="0.3">
      <c r="A247" s="2" t="s">
        <v>25</v>
      </c>
      <c r="B247" s="2">
        <v>8.0009999999999994</v>
      </c>
      <c r="C247" s="2"/>
      <c r="D247" s="2"/>
      <c r="E247" s="2">
        <v>152.30000000000001</v>
      </c>
      <c r="F247" s="2"/>
      <c r="G247" s="2">
        <v>450</v>
      </c>
      <c r="H247" s="2"/>
      <c r="I247" s="2"/>
      <c r="J247" s="3">
        <f>IF(A247="Upgrade",IF(OR(H247=4,H247=5),VLOOKUP(I247,'Renewal Rates'!$A$22:$B$27,2,FALSE),2.7%),IF(A247="Renewal",100%,0%))</f>
        <v>0</v>
      </c>
      <c r="K247" s="2" t="s">
        <v>22</v>
      </c>
      <c r="L247" s="2">
        <v>368</v>
      </c>
      <c r="M247" s="2" t="s">
        <v>23</v>
      </c>
      <c r="N247" s="2" t="s">
        <v>24</v>
      </c>
      <c r="O247" s="4">
        <v>405363</v>
      </c>
      <c r="P247" s="4">
        <v>2661</v>
      </c>
      <c r="Q247" s="4">
        <v>137823</v>
      </c>
      <c r="R247" s="4">
        <v>543186</v>
      </c>
      <c r="S247" s="5">
        <v>0.4</v>
      </c>
      <c r="T247" s="4">
        <v>217274</v>
      </c>
      <c r="U247" s="4">
        <v>760460</v>
      </c>
      <c r="V247" s="6">
        <f t="shared" si="6"/>
        <v>0</v>
      </c>
      <c r="W247" s="6">
        <f t="shared" si="7"/>
        <v>760460</v>
      </c>
    </row>
    <row r="248" spans="1:23" x14ac:dyDescent="0.3">
      <c r="A248" s="2" t="s">
        <v>21</v>
      </c>
      <c r="B248" s="2">
        <v>8.0120000000000005</v>
      </c>
      <c r="C248" s="2">
        <v>2000103100</v>
      </c>
      <c r="D248" s="2">
        <v>64.7</v>
      </c>
      <c r="E248" s="2"/>
      <c r="F248" s="2">
        <v>300</v>
      </c>
      <c r="G248" s="2">
        <v>825</v>
      </c>
      <c r="H248" s="2"/>
      <c r="I248" s="2"/>
      <c r="J248" s="3">
        <f>IF(A248="Upgrade",IF(OR(H248=4,H248=5),VLOOKUP(I248,'Renewal Rates'!$A$22:$B$27,2,FALSE),2.7%),IF(A248="Renewal",100%,0%))</f>
        <v>2.7000000000000003E-2</v>
      </c>
      <c r="K248" s="2" t="s">
        <v>22</v>
      </c>
      <c r="L248" s="2">
        <v>368</v>
      </c>
      <c r="M248" s="2" t="s">
        <v>23</v>
      </c>
      <c r="N248" s="2" t="s">
        <v>24</v>
      </c>
      <c r="O248" s="4">
        <v>307698</v>
      </c>
      <c r="P248" s="4">
        <v>4759</v>
      </c>
      <c r="Q248" s="4">
        <v>104617</v>
      </c>
      <c r="R248" s="4">
        <v>412315</v>
      </c>
      <c r="S248" s="5">
        <v>0.4</v>
      </c>
      <c r="T248" s="4">
        <v>164926</v>
      </c>
      <c r="U248" s="4">
        <v>577241</v>
      </c>
      <c r="V248" s="6">
        <f t="shared" si="6"/>
        <v>15585.507000000001</v>
      </c>
      <c r="W248" s="6">
        <f t="shared" si="7"/>
        <v>561655.49300000002</v>
      </c>
    </row>
    <row r="249" spans="1:23" x14ac:dyDescent="0.3">
      <c r="A249" s="2" t="s">
        <v>21</v>
      </c>
      <c r="B249" s="2">
        <v>8.0109999999999992</v>
      </c>
      <c r="C249" s="2">
        <v>2000113347</v>
      </c>
      <c r="D249" s="2">
        <v>14.3</v>
      </c>
      <c r="E249" s="2"/>
      <c r="F249" s="2">
        <v>300</v>
      </c>
      <c r="G249" s="2">
        <v>675</v>
      </c>
      <c r="H249" s="2"/>
      <c r="I249" s="2"/>
      <c r="J249" s="3">
        <f>IF(A249="Upgrade",IF(OR(H249=4,H249=5),VLOOKUP(I249,'Renewal Rates'!$A$22:$B$27,2,FALSE),2.7%),IF(A249="Renewal",100%,0%))</f>
        <v>2.7000000000000003E-2</v>
      </c>
      <c r="K249" s="2" t="s">
        <v>22</v>
      </c>
      <c r="L249" s="2">
        <v>368</v>
      </c>
      <c r="M249" s="2" t="s">
        <v>23</v>
      </c>
      <c r="N249" s="2" t="s">
        <v>24</v>
      </c>
      <c r="O249" s="4">
        <v>86580</v>
      </c>
      <c r="P249" s="4">
        <v>6048</v>
      </c>
      <c r="Q249" s="4">
        <v>29437</v>
      </c>
      <c r="R249" s="4">
        <v>116017</v>
      </c>
      <c r="S249" s="5">
        <v>0.4</v>
      </c>
      <c r="T249" s="4">
        <v>46407</v>
      </c>
      <c r="U249" s="4">
        <v>162424</v>
      </c>
      <c r="V249" s="6">
        <f t="shared" si="6"/>
        <v>4385.4480000000003</v>
      </c>
      <c r="W249" s="6">
        <f t="shared" si="7"/>
        <v>158038.552</v>
      </c>
    </row>
    <row r="250" spans="1:23" x14ac:dyDescent="0.3">
      <c r="A250" s="2" t="s">
        <v>21</v>
      </c>
      <c r="B250" s="2">
        <v>8.0109999999999992</v>
      </c>
      <c r="C250" s="2">
        <v>3000032366</v>
      </c>
      <c r="D250" s="2">
        <v>15.7</v>
      </c>
      <c r="E250" s="2"/>
      <c r="F250" s="2">
        <v>300</v>
      </c>
      <c r="G250" s="2">
        <v>675</v>
      </c>
      <c r="H250" s="2"/>
      <c r="I250" s="2"/>
      <c r="J250" s="3">
        <f>IF(A250="Upgrade",IF(OR(H250=4,H250=5),VLOOKUP(I250,'Renewal Rates'!$A$22:$B$27,2,FALSE),2.7%),IF(A250="Renewal",100%,0%))</f>
        <v>2.7000000000000003E-2</v>
      </c>
      <c r="K250" s="2" t="s">
        <v>22</v>
      </c>
      <c r="L250" s="2">
        <v>368</v>
      </c>
      <c r="M250" s="2" t="s">
        <v>23</v>
      </c>
      <c r="N250" s="2" t="s">
        <v>24</v>
      </c>
      <c r="O250" s="4">
        <v>111593</v>
      </c>
      <c r="P250" s="4">
        <v>7124</v>
      </c>
      <c r="Q250" s="4">
        <v>37942</v>
      </c>
      <c r="R250" s="4">
        <v>149535</v>
      </c>
      <c r="S250" s="5">
        <v>0.4</v>
      </c>
      <c r="T250" s="4">
        <v>59814</v>
      </c>
      <c r="U250" s="4">
        <v>209349</v>
      </c>
      <c r="V250" s="6">
        <f t="shared" si="6"/>
        <v>5652.4230000000007</v>
      </c>
      <c r="W250" s="6">
        <f t="shared" si="7"/>
        <v>203696.57699999999</v>
      </c>
    </row>
    <row r="251" spans="1:23" x14ac:dyDescent="0.3">
      <c r="A251" s="2" t="s">
        <v>21</v>
      </c>
      <c r="B251" s="2">
        <v>8.0109999999999992</v>
      </c>
      <c r="C251" s="2">
        <v>3000032367</v>
      </c>
      <c r="D251" s="2">
        <v>40.299999999999997</v>
      </c>
      <c r="E251" s="2"/>
      <c r="F251" s="2">
        <v>225</v>
      </c>
      <c r="G251" s="2">
        <v>675</v>
      </c>
      <c r="H251" s="2"/>
      <c r="I251" s="2"/>
      <c r="J251" s="3">
        <f>IF(A251="Upgrade",IF(OR(H251=4,H251=5),VLOOKUP(I251,'Renewal Rates'!$A$22:$B$27,2,FALSE),2.7%),IF(A251="Renewal",100%,0%))</f>
        <v>2.7000000000000003E-2</v>
      </c>
      <c r="K251" s="2" t="s">
        <v>22</v>
      </c>
      <c r="L251" s="2">
        <v>368</v>
      </c>
      <c r="M251" s="2" t="s">
        <v>23</v>
      </c>
      <c r="N251" s="2" t="s">
        <v>24</v>
      </c>
      <c r="O251" s="4">
        <v>179965</v>
      </c>
      <c r="P251" s="4">
        <v>4464</v>
      </c>
      <c r="Q251" s="4">
        <v>61188</v>
      </c>
      <c r="R251" s="4">
        <v>241154</v>
      </c>
      <c r="S251" s="5">
        <v>0.4</v>
      </c>
      <c r="T251" s="4">
        <v>96461</v>
      </c>
      <c r="U251" s="4">
        <v>337615</v>
      </c>
      <c r="V251" s="6">
        <f t="shared" si="6"/>
        <v>9115.6050000000014</v>
      </c>
      <c r="W251" s="6">
        <f t="shared" si="7"/>
        <v>328499.39500000002</v>
      </c>
    </row>
    <row r="252" spans="1:23" x14ac:dyDescent="0.3">
      <c r="A252" s="2" t="s">
        <v>21</v>
      </c>
      <c r="B252" s="2">
        <v>8.02</v>
      </c>
      <c r="C252" s="2">
        <v>2000347154</v>
      </c>
      <c r="D252" s="2">
        <v>47.9</v>
      </c>
      <c r="E252" s="2"/>
      <c r="F252" s="2">
        <v>600</v>
      </c>
      <c r="G252" s="2">
        <v>975</v>
      </c>
      <c r="H252" s="2">
        <v>4</v>
      </c>
      <c r="I252" s="2">
        <v>2</v>
      </c>
      <c r="J252" s="3">
        <f>IF(A252="Upgrade",IF(OR(H252=4,H252=5),VLOOKUP(I252,'Renewal Rates'!$A$22:$B$27,2,FALSE),2.7%),IF(A252="Renewal",100%,0%))</f>
        <v>0</v>
      </c>
      <c r="K252" s="2" t="s">
        <v>28</v>
      </c>
      <c r="L252" s="2">
        <v>368</v>
      </c>
      <c r="M252" s="2" t="s">
        <v>23</v>
      </c>
      <c r="N252" s="2" t="s">
        <v>24</v>
      </c>
      <c r="O252" s="4">
        <v>292052</v>
      </c>
      <c r="P252" s="4">
        <v>6093</v>
      </c>
      <c r="Q252" s="4">
        <v>99298</v>
      </c>
      <c r="R252" s="4">
        <v>391349</v>
      </c>
      <c r="S252" s="5">
        <v>0.4</v>
      </c>
      <c r="T252" s="4">
        <v>156540</v>
      </c>
      <c r="U252" s="4">
        <v>547889</v>
      </c>
      <c r="V252" s="6">
        <f t="shared" si="6"/>
        <v>0</v>
      </c>
      <c r="W252" s="6">
        <f t="shared" si="7"/>
        <v>547889</v>
      </c>
    </row>
    <row r="253" spans="1:23" x14ac:dyDescent="0.3">
      <c r="A253" s="2" t="s">
        <v>21</v>
      </c>
      <c r="B253" s="2">
        <v>8.02</v>
      </c>
      <c r="C253" s="2">
        <v>2000428279</v>
      </c>
      <c r="D253" s="2">
        <v>34.299999999999997</v>
      </c>
      <c r="E253" s="2"/>
      <c r="F253" s="2">
        <v>600</v>
      </c>
      <c r="G253" s="2">
        <v>975</v>
      </c>
      <c r="H253" s="2">
        <v>4</v>
      </c>
      <c r="I253" s="2">
        <v>3</v>
      </c>
      <c r="J253" s="3">
        <f>IF(A253="Upgrade",IF(OR(H253=4,H253=5),VLOOKUP(I253,'Renewal Rates'!$A$22:$B$27,2,FALSE),2.7%),IF(A253="Renewal",100%,0%))</f>
        <v>0.21</v>
      </c>
      <c r="K253" s="2" t="s">
        <v>28</v>
      </c>
      <c r="L253" s="2">
        <v>368</v>
      </c>
      <c r="M253" s="2" t="s">
        <v>23</v>
      </c>
      <c r="N253" s="2" t="s">
        <v>24</v>
      </c>
      <c r="O253" s="4">
        <v>221456</v>
      </c>
      <c r="P253" s="4">
        <v>6449</v>
      </c>
      <c r="Q253" s="4">
        <v>75295</v>
      </c>
      <c r="R253" s="4">
        <v>296751</v>
      </c>
      <c r="S253" s="5">
        <v>0.4</v>
      </c>
      <c r="T253" s="4">
        <v>118700</v>
      </c>
      <c r="U253" s="4">
        <v>415451</v>
      </c>
      <c r="V253" s="6">
        <f t="shared" si="6"/>
        <v>87244.709999999992</v>
      </c>
      <c r="W253" s="6">
        <f t="shared" si="7"/>
        <v>328206.29000000004</v>
      </c>
    </row>
    <row r="254" spans="1:23" x14ac:dyDescent="0.3">
      <c r="A254" s="2" t="s">
        <v>21</v>
      </c>
      <c r="B254" s="2">
        <v>8.0210000000000008</v>
      </c>
      <c r="C254" s="2">
        <v>2000762208</v>
      </c>
      <c r="D254" s="2">
        <v>32.799999999999997</v>
      </c>
      <c r="E254" s="2"/>
      <c r="F254" s="2">
        <v>225</v>
      </c>
      <c r="G254" s="2">
        <v>525</v>
      </c>
      <c r="H254" s="2"/>
      <c r="I254" s="2"/>
      <c r="J254" s="3">
        <f>IF(A254="Upgrade",IF(OR(H254=4,H254=5),VLOOKUP(I254,'Renewal Rates'!$A$22:$B$27,2,FALSE),2.7%),IF(A254="Renewal",100%,0%))</f>
        <v>2.7000000000000003E-2</v>
      </c>
      <c r="K254" s="2" t="s">
        <v>28</v>
      </c>
      <c r="L254" s="2">
        <v>368</v>
      </c>
      <c r="M254" s="2" t="s">
        <v>23</v>
      </c>
      <c r="N254" s="2" t="s">
        <v>24</v>
      </c>
      <c r="O254" s="4">
        <v>111400</v>
      </c>
      <c r="P254" s="4">
        <v>3400</v>
      </c>
      <c r="Q254" s="4">
        <v>37876</v>
      </c>
      <c r="R254" s="4">
        <v>149276</v>
      </c>
      <c r="S254" s="5">
        <v>0.4</v>
      </c>
      <c r="T254" s="4">
        <v>59710</v>
      </c>
      <c r="U254" s="4">
        <v>208986</v>
      </c>
      <c r="V254" s="6">
        <f t="shared" si="6"/>
        <v>5642.6220000000003</v>
      </c>
      <c r="W254" s="6">
        <f t="shared" si="7"/>
        <v>203343.378</v>
      </c>
    </row>
    <row r="255" spans="1:23" x14ac:dyDescent="0.3">
      <c r="A255" s="2" t="s">
        <v>21</v>
      </c>
      <c r="B255" s="2">
        <v>8.0259999999999998</v>
      </c>
      <c r="C255" s="2">
        <v>2000644851</v>
      </c>
      <c r="D255" s="2">
        <v>18.2</v>
      </c>
      <c r="E255" s="2"/>
      <c r="F255" s="2">
        <v>225</v>
      </c>
      <c r="G255" s="2">
        <v>300</v>
      </c>
      <c r="H255" s="2"/>
      <c r="I255" s="2"/>
      <c r="J255" s="3">
        <f>IF(A255="Upgrade",IF(OR(H255=4,H255=5),VLOOKUP(I255,'Renewal Rates'!$A$22:$B$27,2,FALSE),2.7%),IF(A255="Renewal",100%,0%))</f>
        <v>2.7000000000000003E-2</v>
      </c>
      <c r="K255" s="2" t="s">
        <v>28</v>
      </c>
      <c r="L255" s="2">
        <v>375</v>
      </c>
      <c r="M255" s="2" t="s">
        <v>23</v>
      </c>
      <c r="N255" s="2" t="s">
        <v>24</v>
      </c>
      <c r="O255" s="4">
        <v>46162</v>
      </c>
      <c r="P255" s="4">
        <v>2532</v>
      </c>
      <c r="Q255" s="4">
        <v>15695</v>
      </c>
      <c r="R255" s="4">
        <v>61857</v>
      </c>
      <c r="S255" s="5">
        <v>0.4</v>
      </c>
      <c r="T255" s="4">
        <v>24743</v>
      </c>
      <c r="U255" s="4">
        <v>86600</v>
      </c>
      <c r="V255" s="6">
        <f t="shared" si="6"/>
        <v>2338.2000000000003</v>
      </c>
      <c r="W255" s="6">
        <f t="shared" si="7"/>
        <v>84261.8</v>
      </c>
    </row>
    <row r="256" spans="1:23" x14ac:dyDescent="0.3">
      <c r="A256" s="2" t="s">
        <v>21</v>
      </c>
      <c r="B256" s="2">
        <v>8.0190000000000001</v>
      </c>
      <c r="C256" s="2">
        <v>2000496978</v>
      </c>
      <c r="D256" s="2">
        <v>42.8</v>
      </c>
      <c r="E256" s="2"/>
      <c r="F256" s="2">
        <v>300</v>
      </c>
      <c r="G256" s="2">
        <v>825</v>
      </c>
      <c r="H256" s="2">
        <v>4</v>
      </c>
      <c r="I256" s="2" t="s">
        <v>27</v>
      </c>
      <c r="J256" s="3">
        <f>IF(A256="Upgrade",IF(OR(H256=4,H256=5),VLOOKUP(I256,'Renewal Rates'!$A$22:$B$27,2,FALSE),2.7%),IF(A256="Renewal",100%,0%))</f>
        <v>0.116578</v>
      </c>
      <c r="K256" s="2" t="s">
        <v>28</v>
      </c>
      <c r="L256" s="2">
        <v>368</v>
      </c>
      <c r="M256" s="2" t="s">
        <v>23</v>
      </c>
      <c r="N256" s="2" t="s">
        <v>24</v>
      </c>
      <c r="O256" s="4">
        <v>192008</v>
      </c>
      <c r="P256" s="4">
        <v>4490</v>
      </c>
      <c r="Q256" s="4">
        <v>65283</v>
      </c>
      <c r="R256" s="4">
        <v>257290</v>
      </c>
      <c r="S256" s="5">
        <v>0.4</v>
      </c>
      <c r="T256" s="4">
        <v>102916</v>
      </c>
      <c r="U256" s="4">
        <v>360206</v>
      </c>
      <c r="V256" s="6">
        <f t="shared" si="6"/>
        <v>41992.095068000002</v>
      </c>
      <c r="W256" s="6">
        <f t="shared" si="7"/>
        <v>318213.90493199998</v>
      </c>
    </row>
    <row r="257" spans="1:23" x14ac:dyDescent="0.3">
      <c r="A257" s="2" t="s">
        <v>21</v>
      </c>
      <c r="B257" s="2">
        <v>8.0190000000000001</v>
      </c>
      <c r="C257" s="2">
        <v>2000540447</v>
      </c>
      <c r="D257" s="2">
        <v>27.8</v>
      </c>
      <c r="E257" s="2"/>
      <c r="F257" s="2">
        <v>450</v>
      </c>
      <c r="G257" s="2">
        <v>825</v>
      </c>
      <c r="H257" s="2"/>
      <c r="I257" s="2"/>
      <c r="J257" s="3">
        <f>IF(A257="Upgrade",IF(OR(H257=4,H257=5),VLOOKUP(I257,'Renewal Rates'!$A$22:$B$27,2,FALSE),2.7%),IF(A257="Renewal",100%,0%))</f>
        <v>2.7000000000000003E-2</v>
      </c>
      <c r="K257" s="2" t="s">
        <v>28</v>
      </c>
      <c r="L257" s="2">
        <v>368</v>
      </c>
      <c r="M257" s="2" t="s">
        <v>23</v>
      </c>
      <c r="N257" s="2" t="s">
        <v>24</v>
      </c>
      <c r="O257" s="4">
        <v>149813</v>
      </c>
      <c r="P257" s="4">
        <v>5382</v>
      </c>
      <c r="Q257" s="4">
        <v>50936</v>
      </c>
      <c r="R257" s="4">
        <v>200749</v>
      </c>
      <c r="S257" s="5">
        <v>0.4</v>
      </c>
      <c r="T257" s="4">
        <v>80300</v>
      </c>
      <c r="U257" s="4">
        <v>281048</v>
      </c>
      <c r="V257" s="6">
        <f t="shared" si="6"/>
        <v>7588.2960000000012</v>
      </c>
      <c r="W257" s="6">
        <f t="shared" si="7"/>
        <v>273459.70400000003</v>
      </c>
    </row>
    <row r="258" spans="1:23" x14ac:dyDescent="0.3">
      <c r="A258" s="2" t="s">
        <v>21</v>
      </c>
      <c r="B258" s="2">
        <v>8.0180000000000007</v>
      </c>
      <c r="C258" s="2">
        <v>2000145043</v>
      </c>
      <c r="D258" s="2">
        <v>22.2</v>
      </c>
      <c r="E258" s="2"/>
      <c r="F258" s="2">
        <v>450</v>
      </c>
      <c r="G258" s="2">
        <v>825</v>
      </c>
      <c r="H258" s="2"/>
      <c r="I258" s="2"/>
      <c r="J258" s="3">
        <f>IF(A258="Upgrade",IF(OR(H258=4,H258=5),VLOOKUP(I258,'Renewal Rates'!$A$22:$B$27,2,FALSE),2.7%),IF(A258="Renewal",100%,0%))</f>
        <v>2.7000000000000003E-2</v>
      </c>
      <c r="K258" s="2" t="s">
        <v>28</v>
      </c>
      <c r="L258" s="2">
        <v>368</v>
      </c>
      <c r="M258" s="2" t="s">
        <v>23</v>
      </c>
      <c r="N258" s="2" t="s">
        <v>24</v>
      </c>
      <c r="O258" s="4">
        <v>121775</v>
      </c>
      <c r="P258" s="4">
        <v>5487</v>
      </c>
      <c r="Q258" s="4">
        <v>41404</v>
      </c>
      <c r="R258" s="4">
        <v>163179</v>
      </c>
      <c r="S258" s="5">
        <v>0.4</v>
      </c>
      <c r="T258" s="4">
        <v>65271</v>
      </c>
      <c r="U258" s="4">
        <v>228450</v>
      </c>
      <c r="V258" s="6">
        <f t="shared" si="6"/>
        <v>6168.1500000000005</v>
      </c>
      <c r="W258" s="6">
        <f t="shared" si="7"/>
        <v>222281.85</v>
      </c>
    </row>
    <row r="259" spans="1:23" x14ac:dyDescent="0.3">
      <c r="A259" s="2" t="s">
        <v>21</v>
      </c>
      <c r="B259" s="2">
        <v>8.0180000000000007</v>
      </c>
      <c r="C259" s="2">
        <v>2000932057</v>
      </c>
      <c r="D259" s="2">
        <v>31.7</v>
      </c>
      <c r="E259" s="2"/>
      <c r="F259" s="2">
        <v>450</v>
      </c>
      <c r="G259" s="2">
        <v>825</v>
      </c>
      <c r="H259" s="2"/>
      <c r="I259" s="2"/>
      <c r="J259" s="3">
        <f>IF(A259="Upgrade",IF(OR(H259=4,H259=5),VLOOKUP(I259,'Renewal Rates'!$A$22:$B$27,2,FALSE),2.7%),IF(A259="Renewal",100%,0%))</f>
        <v>2.7000000000000003E-2</v>
      </c>
      <c r="K259" s="2" t="s">
        <v>28</v>
      </c>
      <c r="L259" s="2">
        <v>368</v>
      </c>
      <c r="M259" s="2" t="s">
        <v>23</v>
      </c>
      <c r="N259" s="2" t="s">
        <v>24</v>
      </c>
      <c r="O259" s="4">
        <v>179122</v>
      </c>
      <c r="P259" s="4">
        <v>5648</v>
      </c>
      <c r="Q259" s="4">
        <v>60901</v>
      </c>
      <c r="R259" s="4">
        <v>240023</v>
      </c>
      <c r="S259" s="5">
        <v>0.4</v>
      </c>
      <c r="T259" s="4">
        <v>96009</v>
      </c>
      <c r="U259" s="4">
        <v>336032</v>
      </c>
      <c r="V259" s="6">
        <f t="shared" ref="V259:V322" si="8">J259*U259</f>
        <v>9072.8640000000014</v>
      </c>
      <c r="W259" s="6">
        <f t="shared" ref="W259:W322" si="9">U259-V259</f>
        <v>326959.136</v>
      </c>
    </row>
    <row r="260" spans="1:23" x14ac:dyDescent="0.3">
      <c r="A260" s="2" t="s">
        <v>21</v>
      </c>
      <c r="B260" s="2">
        <v>8.0180000000000007</v>
      </c>
      <c r="C260" s="2">
        <v>2000743750</v>
      </c>
      <c r="D260" s="2">
        <v>24.1</v>
      </c>
      <c r="E260" s="2"/>
      <c r="F260" s="2">
        <v>450</v>
      </c>
      <c r="G260" s="2">
        <v>825</v>
      </c>
      <c r="H260" s="2"/>
      <c r="I260" s="2"/>
      <c r="J260" s="3">
        <f>IF(A260="Upgrade",IF(OR(H260=4,H260=5),VLOOKUP(I260,'Renewal Rates'!$A$22:$B$27,2,FALSE),2.7%),IF(A260="Renewal",100%,0%))</f>
        <v>2.7000000000000003E-2</v>
      </c>
      <c r="K260" s="2" t="s">
        <v>28</v>
      </c>
      <c r="L260" s="2">
        <v>368</v>
      </c>
      <c r="M260" s="2" t="s">
        <v>23</v>
      </c>
      <c r="N260" s="2" t="s">
        <v>24</v>
      </c>
      <c r="O260" s="4">
        <v>148011</v>
      </c>
      <c r="P260" s="4">
        <v>6154</v>
      </c>
      <c r="Q260" s="4">
        <v>50324</v>
      </c>
      <c r="R260" s="4">
        <v>198335</v>
      </c>
      <c r="S260" s="5">
        <v>0.4</v>
      </c>
      <c r="T260" s="4">
        <v>79334</v>
      </c>
      <c r="U260" s="4">
        <v>277669</v>
      </c>
      <c r="V260" s="6">
        <f t="shared" si="8"/>
        <v>7497.063000000001</v>
      </c>
      <c r="W260" s="6">
        <f t="shared" si="9"/>
        <v>270171.93699999998</v>
      </c>
    </row>
    <row r="261" spans="1:23" x14ac:dyDescent="0.3">
      <c r="A261" s="2" t="s">
        <v>21</v>
      </c>
      <c r="B261" s="2">
        <v>8.0169999999999995</v>
      </c>
      <c r="C261" s="2">
        <v>2000072973</v>
      </c>
      <c r="D261" s="2">
        <v>25.1</v>
      </c>
      <c r="E261" s="2"/>
      <c r="F261" s="2">
        <v>300</v>
      </c>
      <c r="G261" s="2">
        <v>450</v>
      </c>
      <c r="H261" s="2"/>
      <c r="I261" s="2"/>
      <c r="J261" s="3">
        <f>IF(A261="Upgrade",IF(OR(H261=4,H261=5),VLOOKUP(I261,'Renewal Rates'!$A$22:$B$27,2,FALSE),2.7%),IF(A261="Renewal",100%,0%))</f>
        <v>2.7000000000000003E-2</v>
      </c>
      <c r="K261" s="2" t="s">
        <v>22</v>
      </c>
      <c r="L261" s="2">
        <v>368</v>
      </c>
      <c r="M261" s="2" t="s">
        <v>23</v>
      </c>
      <c r="N261" s="2" t="s">
        <v>24</v>
      </c>
      <c r="O261" s="4">
        <v>81731</v>
      </c>
      <c r="P261" s="4">
        <v>3254</v>
      </c>
      <c r="Q261" s="4">
        <v>27788</v>
      </c>
      <c r="R261" s="4">
        <v>109519</v>
      </c>
      <c r="S261" s="5">
        <v>0.4</v>
      </c>
      <c r="T261" s="4">
        <v>43808</v>
      </c>
      <c r="U261" s="4">
        <v>153327</v>
      </c>
      <c r="V261" s="6">
        <f t="shared" si="8"/>
        <v>4139.8290000000006</v>
      </c>
      <c r="W261" s="6">
        <f t="shared" si="9"/>
        <v>149187.171</v>
      </c>
    </row>
    <row r="262" spans="1:23" x14ac:dyDescent="0.3">
      <c r="A262" s="2" t="s">
        <v>21</v>
      </c>
      <c r="B262" s="2">
        <v>8.0169999999999995</v>
      </c>
      <c r="C262" s="2">
        <v>2000249802</v>
      </c>
      <c r="D262" s="2">
        <v>46.9</v>
      </c>
      <c r="E262" s="2"/>
      <c r="F262" s="2">
        <v>300</v>
      </c>
      <c r="G262" s="2">
        <v>450</v>
      </c>
      <c r="H262" s="2">
        <v>4</v>
      </c>
      <c r="I262" s="2">
        <v>2</v>
      </c>
      <c r="J262" s="3">
        <f>IF(A262="Upgrade",IF(OR(H262=4,H262=5),VLOOKUP(I262,'Renewal Rates'!$A$22:$B$27,2,FALSE),2.7%),IF(A262="Renewal",100%,0%))</f>
        <v>0</v>
      </c>
      <c r="K262" s="2" t="s">
        <v>22</v>
      </c>
      <c r="L262" s="2">
        <v>368</v>
      </c>
      <c r="M262" s="2" t="s">
        <v>23</v>
      </c>
      <c r="N262" s="2" t="s">
        <v>24</v>
      </c>
      <c r="O262" s="4">
        <v>136123</v>
      </c>
      <c r="P262" s="4">
        <v>2903</v>
      </c>
      <c r="Q262" s="4">
        <v>46282</v>
      </c>
      <c r="R262" s="4">
        <v>182405</v>
      </c>
      <c r="S262" s="5">
        <v>0.4</v>
      </c>
      <c r="T262" s="4">
        <v>72962</v>
      </c>
      <c r="U262" s="4">
        <v>255367</v>
      </c>
      <c r="V262" s="6">
        <f t="shared" si="8"/>
        <v>0</v>
      </c>
      <c r="W262" s="6">
        <f t="shared" si="9"/>
        <v>255367</v>
      </c>
    </row>
    <row r="263" spans="1:23" x14ac:dyDescent="0.3">
      <c r="A263" s="2" t="s">
        <v>21</v>
      </c>
      <c r="B263" s="2">
        <v>8.0169999999999995</v>
      </c>
      <c r="C263" s="2">
        <v>3000019648</v>
      </c>
      <c r="D263" s="2">
        <v>6.5</v>
      </c>
      <c r="E263" s="2"/>
      <c r="F263" s="2">
        <v>300</v>
      </c>
      <c r="G263" s="2">
        <v>450</v>
      </c>
      <c r="H263" s="2"/>
      <c r="I263" s="2"/>
      <c r="J263" s="3">
        <f>IF(A263="Upgrade",IF(OR(H263=4,H263=5),VLOOKUP(I263,'Renewal Rates'!$A$22:$B$27,2,FALSE),2.7%),IF(A263="Renewal",100%,0%))</f>
        <v>2.7000000000000003E-2</v>
      </c>
      <c r="K263" s="2" t="s">
        <v>22</v>
      </c>
      <c r="L263" s="2">
        <v>368</v>
      </c>
      <c r="M263" s="2" t="s">
        <v>23</v>
      </c>
      <c r="N263" s="2" t="s">
        <v>24</v>
      </c>
      <c r="O263" s="4">
        <v>49055</v>
      </c>
      <c r="P263" s="4">
        <v>7498</v>
      </c>
      <c r="Q263" s="4">
        <v>16679</v>
      </c>
      <c r="R263" s="4">
        <v>65734</v>
      </c>
      <c r="S263" s="5">
        <v>0.4</v>
      </c>
      <c r="T263" s="4">
        <v>26294</v>
      </c>
      <c r="U263" s="4">
        <v>92028</v>
      </c>
      <c r="V263" s="6">
        <f t="shared" si="8"/>
        <v>2484.7560000000003</v>
      </c>
      <c r="W263" s="6">
        <f t="shared" si="9"/>
        <v>89543.244000000006</v>
      </c>
    </row>
    <row r="264" spans="1:23" x14ac:dyDescent="0.3">
      <c r="A264" s="2" t="s">
        <v>21</v>
      </c>
      <c r="B264" s="2">
        <v>8.016</v>
      </c>
      <c r="C264" s="2">
        <v>2000105254</v>
      </c>
      <c r="D264" s="2">
        <v>67.400000000000006</v>
      </c>
      <c r="E264" s="2"/>
      <c r="F264" s="2">
        <v>300</v>
      </c>
      <c r="G264" s="2">
        <v>675</v>
      </c>
      <c r="H264" s="2">
        <v>4</v>
      </c>
      <c r="I264" s="2">
        <v>2</v>
      </c>
      <c r="J264" s="3">
        <f>IF(A264="Upgrade",IF(OR(H264=4,H264=5),VLOOKUP(I264,'Renewal Rates'!$A$22:$B$27,2,FALSE),2.7%),IF(A264="Renewal",100%,0%))</f>
        <v>0</v>
      </c>
      <c r="K264" s="2" t="s">
        <v>28</v>
      </c>
      <c r="L264" s="2">
        <v>368</v>
      </c>
      <c r="M264" s="2" t="s">
        <v>23</v>
      </c>
      <c r="N264" s="2" t="s">
        <v>24</v>
      </c>
      <c r="O264" s="4">
        <v>272282</v>
      </c>
      <c r="P264" s="4">
        <v>4038</v>
      </c>
      <c r="Q264" s="4">
        <v>92576</v>
      </c>
      <c r="R264" s="4">
        <v>364858</v>
      </c>
      <c r="S264" s="5">
        <v>0.4</v>
      </c>
      <c r="T264" s="4">
        <v>145943</v>
      </c>
      <c r="U264" s="4">
        <v>510801</v>
      </c>
      <c r="V264" s="6">
        <f t="shared" si="8"/>
        <v>0</v>
      </c>
      <c r="W264" s="6">
        <f t="shared" si="9"/>
        <v>510801</v>
      </c>
    </row>
    <row r="265" spans="1:23" x14ac:dyDescent="0.3">
      <c r="A265" s="2" t="s">
        <v>21</v>
      </c>
      <c r="B265" s="2">
        <v>8.016</v>
      </c>
      <c r="C265" s="2">
        <v>2000822636</v>
      </c>
      <c r="D265" s="2">
        <v>26.8</v>
      </c>
      <c r="E265" s="2"/>
      <c r="F265" s="2">
        <v>300</v>
      </c>
      <c r="G265" s="2">
        <v>675</v>
      </c>
      <c r="H265" s="2"/>
      <c r="I265" s="2"/>
      <c r="J265" s="3">
        <f>IF(A265="Upgrade",IF(OR(H265=4,H265=5),VLOOKUP(I265,'Renewal Rates'!$A$22:$B$27,2,FALSE),2.7%),IF(A265="Renewal",100%,0%))</f>
        <v>2.7000000000000003E-2</v>
      </c>
      <c r="K265" s="2" t="s">
        <v>22</v>
      </c>
      <c r="L265" s="2">
        <v>368</v>
      </c>
      <c r="M265" s="2" t="s">
        <v>23</v>
      </c>
      <c r="N265" s="2" t="s">
        <v>24</v>
      </c>
      <c r="O265" s="4">
        <v>120996</v>
      </c>
      <c r="P265" s="4">
        <v>4509</v>
      </c>
      <c r="Q265" s="4">
        <v>41139</v>
      </c>
      <c r="R265" s="4">
        <v>162134</v>
      </c>
      <c r="S265" s="5">
        <v>0.4</v>
      </c>
      <c r="T265" s="4">
        <v>64854</v>
      </c>
      <c r="U265" s="4">
        <v>226988</v>
      </c>
      <c r="V265" s="6">
        <f t="shared" si="8"/>
        <v>6128.6760000000004</v>
      </c>
      <c r="W265" s="6">
        <f t="shared" si="9"/>
        <v>220859.32399999999</v>
      </c>
    </row>
    <row r="266" spans="1:23" x14ac:dyDescent="0.3">
      <c r="A266" s="2" t="s">
        <v>21</v>
      </c>
      <c r="B266" s="2">
        <v>8.016</v>
      </c>
      <c r="C266" s="2">
        <v>2000857450</v>
      </c>
      <c r="D266" s="2">
        <v>40.700000000000003</v>
      </c>
      <c r="E266" s="2"/>
      <c r="F266" s="2">
        <v>225</v>
      </c>
      <c r="G266" s="2">
        <v>675</v>
      </c>
      <c r="H266" s="2"/>
      <c r="I266" s="2"/>
      <c r="J266" s="3">
        <f>IF(A266="Upgrade",IF(OR(H266=4,H266=5),VLOOKUP(I266,'Renewal Rates'!$A$22:$B$27,2,FALSE),2.7%),IF(A266="Renewal",100%,0%))</f>
        <v>2.7000000000000003E-2</v>
      </c>
      <c r="K266" s="2" t="s">
        <v>22</v>
      </c>
      <c r="L266" s="2">
        <v>368</v>
      </c>
      <c r="M266" s="2" t="s">
        <v>23</v>
      </c>
      <c r="N266" s="2" t="s">
        <v>24</v>
      </c>
      <c r="O266" s="4">
        <v>157049</v>
      </c>
      <c r="P266" s="4">
        <v>3857</v>
      </c>
      <c r="Q266" s="4">
        <v>53397</v>
      </c>
      <c r="R266" s="4">
        <v>210446</v>
      </c>
      <c r="S266" s="5">
        <v>0.4</v>
      </c>
      <c r="T266" s="4">
        <v>84178</v>
      </c>
      <c r="U266" s="4">
        <v>294625</v>
      </c>
      <c r="V266" s="6">
        <f t="shared" si="8"/>
        <v>7954.8750000000009</v>
      </c>
      <c r="W266" s="6">
        <f t="shared" si="9"/>
        <v>286670.125</v>
      </c>
    </row>
    <row r="267" spans="1:23" x14ac:dyDescent="0.3">
      <c r="A267" s="2" t="s">
        <v>25</v>
      </c>
      <c r="B267" s="2">
        <v>8.0030000000000001</v>
      </c>
      <c r="C267" s="2"/>
      <c r="D267" s="2"/>
      <c r="E267" s="2">
        <v>77.099999999999994</v>
      </c>
      <c r="F267" s="2"/>
      <c r="G267" s="2">
        <v>525</v>
      </c>
      <c r="H267" s="2"/>
      <c r="I267" s="2"/>
      <c r="J267" s="3">
        <f>IF(A267="Upgrade",IF(OR(H267=4,H267=5),VLOOKUP(I267,'Renewal Rates'!$A$22:$B$27,2,FALSE),2.7%),IF(A267="Renewal",100%,0%))</f>
        <v>0</v>
      </c>
      <c r="K267" s="2" t="s">
        <v>22</v>
      </c>
      <c r="L267" s="2">
        <v>368</v>
      </c>
      <c r="M267" s="2" t="s">
        <v>23</v>
      </c>
      <c r="N267" s="2" t="s">
        <v>24</v>
      </c>
      <c r="O267" s="4">
        <v>243646</v>
      </c>
      <c r="P267" s="4">
        <v>3161</v>
      </c>
      <c r="Q267" s="4">
        <v>82840</v>
      </c>
      <c r="R267" s="4">
        <v>326485</v>
      </c>
      <c r="S267" s="5">
        <v>0.4</v>
      </c>
      <c r="T267" s="4">
        <v>130594</v>
      </c>
      <c r="U267" s="4">
        <v>457079</v>
      </c>
      <c r="V267" s="6">
        <f t="shared" si="8"/>
        <v>0</v>
      </c>
      <c r="W267" s="6">
        <f t="shared" si="9"/>
        <v>457079</v>
      </c>
    </row>
    <row r="268" spans="1:23" x14ac:dyDescent="0.3">
      <c r="A268" s="2" t="s">
        <v>21</v>
      </c>
      <c r="B268" s="2">
        <v>8.0250000000000004</v>
      </c>
      <c r="C268" s="2">
        <v>2000870621</v>
      </c>
      <c r="D268" s="2">
        <v>8.4</v>
      </c>
      <c r="E268" s="2"/>
      <c r="F268" s="2">
        <v>300</v>
      </c>
      <c r="G268" s="2">
        <v>450</v>
      </c>
      <c r="H268" s="2"/>
      <c r="I268" s="2"/>
      <c r="J268" s="3">
        <f>IF(A268="Upgrade",IF(OR(H268=4,H268=5),VLOOKUP(I268,'Renewal Rates'!$A$22:$B$27,2,FALSE),2.7%),IF(A268="Renewal",100%,0%))</f>
        <v>2.7000000000000003E-2</v>
      </c>
      <c r="K268" s="2" t="s">
        <v>22</v>
      </c>
      <c r="L268" s="2">
        <v>368</v>
      </c>
      <c r="M268" s="2" t="s">
        <v>23</v>
      </c>
      <c r="N268" s="2" t="s">
        <v>24</v>
      </c>
      <c r="O268" s="4">
        <v>66755</v>
      </c>
      <c r="P268" s="4">
        <v>7952</v>
      </c>
      <c r="Q268" s="4">
        <v>22697</v>
      </c>
      <c r="R268" s="4">
        <v>89452</v>
      </c>
      <c r="S268" s="5">
        <v>0.4</v>
      </c>
      <c r="T268" s="4">
        <v>35781</v>
      </c>
      <c r="U268" s="4">
        <v>125233</v>
      </c>
      <c r="V268" s="6">
        <f t="shared" si="8"/>
        <v>3381.2910000000006</v>
      </c>
      <c r="W268" s="6">
        <f t="shared" si="9"/>
        <v>121851.709</v>
      </c>
    </row>
    <row r="269" spans="1:23" x14ac:dyDescent="0.3">
      <c r="A269" s="2" t="s">
        <v>21</v>
      </c>
      <c r="B269" s="2">
        <v>8.0250000000000004</v>
      </c>
      <c r="C269" s="2">
        <v>2000682376</v>
      </c>
      <c r="D269" s="2">
        <v>25.7</v>
      </c>
      <c r="E269" s="2"/>
      <c r="F269" s="2">
        <v>300</v>
      </c>
      <c r="G269" s="2">
        <v>450</v>
      </c>
      <c r="H269" s="2"/>
      <c r="I269" s="2"/>
      <c r="J269" s="3">
        <f>IF(A269="Upgrade",IF(OR(H269=4,H269=5),VLOOKUP(I269,'Renewal Rates'!$A$22:$B$27,2,FALSE),2.7%),IF(A269="Renewal",100%,0%))</f>
        <v>2.7000000000000003E-2</v>
      </c>
      <c r="K269" s="2" t="s">
        <v>22</v>
      </c>
      <c r="L269" s="2">
        <v>368</v>
      </c>
      <c r="M269" s="2" t="s">
        <v>23</v>
      </c>
      <c r="N269" s="2" t="s">
        <v>24</v>
      </c>
      <c r="O269" s="4">
        <v>82125</v>
      </c>
      <c r="P269" s="4">
        <v>3199</v>
      </c>
      <c r="Q269" s="4">
        <v>27923</v>
      </c>
      <c r="R269" s="4">
        <v>110048</v>
      </c>
      <c r="S269" s="5">
        <v>0.4</v>
      </c>
      <c r="T269" s="4">
        <v>44019</v>
      </c>
      <c r="U269" s="4">
        <v>154067</v>
      </c>
      <c r="V269" s="6">
        <f t="shared" si="8"/>
        <v>4159.8090000000002</v>
      </c>
      <c r="W269" s="6">
        <f t="shared" si="9"/>
        <v>149907.19099999999</v>
      </c>
    </row>
    <row r="270" spans="1:23" x14ac:dyDescent="0.3">
      <c r="A270" s="2" t="s">
        <v>21</v>
      </c>
      <c r="B270" s="2">
        <v>8.0239999999999991</v>
      </c>
      <c r="C270" s="2">
        <v>2000892807</v>
      </c>
      <c r="D270" s="2">
        <v>67.8</v>
      </c>
      <c r="E270" s="2"/>
      <c r="F270" s="2">
        <v>225</v>
      </c>
      <c r="G270" s="2">
        <v>525</v>
      </c>
      <c r="H270" s="2"/>
      <c r="I270" s="2"/>
      <c r="J270" s="3">
        <f>IF(A270="Upgrade",IF(OR(H270=4,H270=5),VLOOKUP(I270,'Renewal Rates'!$A$22:$B$27,2,FALSE),2.7%),IF(A270="Renewal",100%,0%))</f>
        <v>2.7000000000000003E-2</v>
      </c>
      <c r="K270" s="2" t="s">
        <v>22</v>
      </c>
      <c r="L270" s="2">
        <v>368</v>
      </c>
      <c r="M270" s="2" t="s">
        <v>23</v>
      </c>
      <c r="N270" s="2" t="s">
        <v>24</v>
      </c>
      <c r="O270" s="4">
        <v>219195</v>
      </c>
      <c r="P270" s="4">
        <v>3232</v>
      </c>
      <c r="Q270" s="4">
        <v>74526</v>
      </c>
      <c r="R270" s="4">
        <v>293721</v>
      </c>
      <c r="S270" s="5">
        <v>0.4</v>
      </c>
      <c r="T270" s="4">
        <v>117488</v>
      </c>
      <c r="U270" s="4">
        <v>411209</v>
      </c>
      <c r="V270" s="6">
        <f t="shared" si="8"/>
        <v>11102.643000000002</v>
      </c>
      <c r="W270" s="6">
        <f t="shared" si="9"/>
        <v>400106.35700000002</v>
      </c>
    </row>
    <row r="271" spans="1:23" x14ac:dyDescent="0.3">
      <c r="A271" s="2" t="s">
        <v>25</v>
      </c>
      <c r="B271" s="2">
        <v>8.0020000000000007</v>
      </c>
      <c r="C271" s="2"/>
      <c r="D271" s="2"/>
      <c r="E271" s="2">
        <v>31.2</v>
      </c>
      <c r="F271" s="2"/>
      <c r="G271" s="2">
        <v>300</v>
      </c>
      <c r="H271" s="2"/>
      <c r="I271" s="2"/>
      <c r="J271" s="3">
        <f>IF(A271="Upgrade",IF(OR(H271=4,H271=5),VLOOKUP(I271,'Renewal Rates'!$A$22:$B$27,2,FALSE),2.7%),IF(A271="Renewal",100%,0%))</f>
        <v>0</v>
      </c>
      <c r="K271" s="2" t="s">
        <v>22</v>
      </c>
      <c r="L271" s="2">
        <v>368</v>
      </c>
      <c r="M271" s="2" t="s">
        <v>23</v>
      </c>
      <c r="N271" s="2" t="s">
        <v>24</v>
      </c>
      <c r="O271" s="4">
        <v>67483</v>
      </c>
      <c r="P271" s="4">
        <v>2162</v>
      </c>
      <c r="Q271" s="4">
        <v>22944</v>
      </c>
      <c r="R271" s="4">
        <v>90427</v>
      </c>
      <c r="S271" s="5">
        <v>0.4</v>
      </c>
      <c r="T271" s="4">
        <v>36171</v>
      </c>
      <c r="U271" s="4">
        <v>126597</v>
      </c>
      <c r="V271" s="6">
        <f t="shared" si="8"/>
        <v>0</v>
      </c>
      <c r="W271" s="6">
        <f t="shared" si="9"/>
        <v>126597</v>
      </c>
    </row>
    <row r="272" spans="1:23" x14ac:dyDescent="0.3">
      <c r="A272" s="2" t="s">
        <v>21</v>
      </c>
      <c r="B272" s="2">
        <v>7.0010000000000003</v>
      </c>
      <c r="C272" s="2">
        <v>2000095148</v>
      </c>
      <c r="D272" s="2">
        <v>23.4</v>
      </c>
      <c r="E272" s="2"/>
      <c r="F272" s="2">
        <v>225</v>
      </c>
      <c r="G272" s="2">
        <v>675</v>
      </c>
      <c r="H272" s="2"/>
      <c r="I272" s="2"/>
      <c r="J272" s="3">
        <f>IF(A272="Upgrade",IF(OR(H272=4,H272=5),VLOOKUP(I272,'Renewal Rates'!$A$22:$B$27,2,FALSE),2.7%),IF(A272="Renewal",100%,0%))</f>
        <v>2.7000000000000003E-2</v>
      </c>
      <c r="K272" s="2" t="s">
        <v>22</v>
      </c>
      <c r="L272" s="2">
        <v>375</v>
      </c>
      <c r="M272" s="2" t="s">
        <v>23</v>
      </c>
      <c r="N272" s="2" t="s">
        <v>24</v>
      </c>
      <c r="O272" s="4">
        <v>140242</v>
      </c>
      <c r="P272" s="4">
        <v>6003</v>
      </c>
      <c r="Q272" s="4">
        <v>47682</v>
      </c>
      <c r="R272" s="4">
        <v>187924</v>
      </c>
      <c r="S272" s="5">
        <v>0.4</v>
      </c>
      <c r="T272" s="4">
        <v>75170</v>
      </c>
      <c r="U272" s="4">
        <v>263094</v>
      </c>
      <c r="V272" s="6">
        <f t="shared" si="8"/>
        <v>7103.5380000000005</v>
      </c>
      <c r="W272" s="6">
        <f t="shared" si="9"/>
        <v>255990.462</v>
      </c>
    </row>
    <row r="273" spans="1:23" x14ac:dyDescent="0.3">
      <c r="A273" s="2" t="s">
        <v>21</v>
      </c>
      <c r="B273" s="2">
        <v>7.0010000000000003</v>
      </c>
      <c r="C273" s="2">
        <v>2000805661</v>
      </c>
      <c r="D273" s="2">
        <v>39.700000000000003</v>
      </c>
      <c r="E273" s="2"/>
      <c r="F273" s="2">
        <v>225</v>
      </c>
      <c r="G273" s="2">
        <v>675</v>
      </c>
      <c r="H273" s="2"/>
      <c r="I273" s="2"/>
      <c r="J273" s="3">
        <f>IF(A273="Upgrade",IF(OR(H273=4,H273=5),VLOOKUP(I273,'Renewal Rates'!$A$22:$B$27,2,FALSE),2.7%),IF(A273="Renewal",100%,0%))</f>
        <v>2.7000000000000003E-2</v>
      </c>
      <c r="K273" s="2" t="s">
        <v>22</v>
      </c>
      <c r="L273" s="2">
        <v>375</v>
      </c>
      <c r="M273" s="2" t="s">
        <v>23</v>
      </c>
      <c r="N273" s="2" t="s">
        <v>24</v>
      </c>
      <c r="O273" s="4">
        <v>155842</v>
      </c>
      <c r="P273" s="4">
        <v>3924</v>
      </c>
      <c r="Q273" s="4">
        <v>52986</v>
      </c>
      <c r="R273" s="4">
        <v>208829</v>
      </c>
      <c r="S273" s="5">
        <v>0.4</v>
      </c>
      <c r="T273" s="4">
        <v>83531</v>
      </c>
      <c r="U273" s="4">
        <v>292360</v>
      </c>
      <c r="V273" s="6">
        <f t="shared" si="8"/>
        <v>7893.7200000000012</v>
      </c>
      <c r="W273" s="6">
        <f t="shared" si="9"/>
        <v>284466.28000000003</v>
      </c>
    </row>
    <row r="274" spans="1:23" x14ac:dyDescent="0.3">
      <c r="A274" s="2" t="s">
        <v>21</v>
      </c>
      <c r="B274" s="2">
        <v>7.0010000000000003</v>
      </c>
      <c r="C274" s="2">
        <v>2000740720</v>
      </c>
      <c r="D274" s="2">
        <v>82.9</v>
      </c>
      <c r="E274" s="2"/>
      <c r="F274" s="2">
        <v>225</v>
      </c>
      <c r="G274" s="2">
        <v>675</v>
      </c>
      <c r="H274" s="2"/>
      <c r="I274" s="2"/>
      <c r="J274" s="3">
        <f>IF(A274="Upgrade",IF(OR(H274=4,H274=5),VLOOKUP(I274,'Renewal Rates'!$A$22:$B$27,2,FALSE),2.7%),IF(A274="Renewal",100%,0%))</f>
        <v>2.7000000000000003E-2</v>
      </c>
      <c r="K274" s="2" t="s">
        <v>22</v>
      </c>
      <c r="L274" s="2">
        <v>375</v>
      </c>
      <c r="M274" s="2" t="s">
        <v>23</v>
      </c>
      <c r="N274" s="2" t="s">
        <v>24</v>
      </c>
      <c r="O274" s="4">
        <v>310247</v>
      </c>
      <c r="P274" s="4">
        <v>3741</v>
      </c>
      <c r="Q274" s="4">
        <v>105484</v>
      </c>
      <c r="R274" s="4">
        <v>415730</v>
      </c>
      <c r="S274" s="5">
        <v>0.4</v>
      </c>
      <c r="T274" s="4">
        <v>166292</v>
      </c>
      <c r="U274" s="4">
        <v>582023</v>
      </c>
      <c r="V274" s="6">
        <f t="shared" si="8"/>
        <v>15714.621000000001</v>
      </c>
      <c r="W274" s="6">
        <f t="shared" si="9"/>
        <v>566308.37899999996</v>
      </c>
    </row>
    <row r="275" spans="1:23" x14ac:dyDescent="0.3">
      <c r="A275" s="2" t="s">
        <v>21</v>
      </c>
      <c r="B275" s="2">
        <v>9.0090000000000003</v>
      </c>
      <c r="C275" s="2">
        <v>2000460577</v>
      </c>
      <c r="D275" s="2">
        <v>15.4</v>
      </c>
      <c r="E275" s="2"/>
      <c r="F275" s="2">
        <v>900</v>
      </c>
      <c r="G275" s="2">
        <v>1275</v>
      </c>
      <c r="H275" s="2">
        <v>4</v>
      </c>
      <c r="I275" s="2">
        <v>3</v>
      </c>
      <c r="J275" s="3">
        <f>IF(A275="Upgrade",IF(OR(H275=4,H275=5),VLOOKUP(I275,'Renewal Rates'!$A$22:$B$27,2,FALSE),2.7%),IF(A275="Renewal",100%,0%))</f>
        <v>0.21</v>
      </c>
      <c r="K275" s="2" t="s">
        <v>28</v>
      </c>
      <c r="L275" s="2">
        <v>375</v>
      </c>
      <c r="M275" s="2" t="s">
        <v>23</v>
      </c>
      <c r="N275" s="2" t="s">
        <v>24</v>
      </c>
      <c r="O275" s="4">
        <v>110404</v>
      </c>
      <c r="P275" s="4">
        <v>7182</v>
      </c>
      <c r="Q275" s="4">
        <v>37537</v>
      </c>
      <c r="R275" s="4">
        <v>147942</v>
      </c>
      <c r="S275" s="5">
        <v>0.4</v>
      </c>
      <c r="T275" s="4">
        <v>59177</v>
      </c>
      <c r="U275" s="4">
        <v>207119</v>
      </c>
      <c r="V275" s="6">
        <f t="shared" si="8"/>
        <v>43494.99</v>
      </c>
      <c r="W275" s="6">
        <f t="shared" si="9"/>
        <v>163624.01</v>
      </c>
    </row>
    <row r="276" spans="1:23" x14ac:dyDescent="0.3">
      <c r="A276" s="2" t="s">
        <v>21</v>
      </c>
      <c r="B276" s="2">
        <v>9.0090000000000003</v>
      </c>
      <c r="C276" s="2">
        <v>2000280103</v>
      </c>
      <c r="D276" s="2">
        <v>29.1</v>
      </c>
      <c r="E276" s="2"/>
      <c r="F276" s="2">
        <v>750</v>
      </c>
      <c r="G276" s="2">
        <v>1275</v>
      </c>
      <c r="H276" s="2">
        <v>4</v>
      </c>
      <c r="I276" s="2">
        <v>3</v>
      </c>
      <c r="J276" s="3">
        <f>IF(A276="Upgrade",IF(OR(H276=4,H276=5),VLOOKUP(I276,'Renewal Rates'!$A$22:$B$27,2,FALSE),2.7%),IF(A276="Renewal",100%,0%))</f>
        <v>0.21</v>
      </c>
      <c r="K276" s="2" t="s">
        <v>28</v>
      </c>
      <c r="L276" s="2">
        <v>375</v>
      </c>
      <c r="M276" s="2" t="s">
        <v>23</v>
      </c>
      <c r="N276" s="2" t="s">
        <v>24</v>
      </c>
      <c r="O276" s="4">
        <v>213122</v>
      </c>
      <c r="P276" s="4">
        <v>7332</v>
      </c>
      <c r="Q276" s="4">
        <v>72462</v>
      </c>
      <c r="R276" s="4">
        <v>285584</v>
      </c>
      <c r="S276" s="5">
        <v>0.4</v>
      </c>
      <c r="T276" s="4">
        <v>114234</v>
      </c>
      <c r="U276" s="4">
        <v>399818</v>
      </c>
      <c r="V276" s="6">
        <f t="shared" si="8"/>
        <v>83961.78</v>
      </c>
      <c r="W276" s="6">
        <f t="shared" si="9"/>
        <v>315856.21999999997</v>
      </c>
    </row>
    <row r="277" spans="1:23" x14ac:dyDescent="0.3">
      <c r="A277" s="2" t="s">
        <v>21</v>
      </c>
      <c r="B277" s="2">
        <v>9.0090000000000003</v>
      </c>
      <c r="C277" s="2">
        <v>2000660300</v>
      </c>
      <c r="D277" s="2">
        <v>69.8</v>
      </c>
      <c r="E277" s="2"/>
      <c r="F277" s="2">
        <v>750</v>
      </c>
      <c r="G277" s="2">
        <v>1275</v>
      </c>
      <c r="H277" s="2"/>
      <c r="I277" s="2"/>
      <c r="J277" s="3">
        <f>IF(A277="Upgrade",IF(OR(H277=4,H277=5),VLOOKUP(I277,'Renewal Rates'!$A$22:$B$27,2,FALSE),2.7%),IF(A277="Renewal",100%,0%))</f>
        <v>2.7000000000000003E-2</v>
      </c>
      <c r="K277" s="2" t="s">
        <v>22</v>
      </c>
      <c r="L277" s="2">
        <v>375</v>
      </c>
      <c r="M277" s="2" t="s">
        <v>23</v>
      </c>
      <c r="N277" s="2" t="s">
        <v>24</v>
      </c>
      <c r="O277" s="4">
        <v>472805</v>
      </c>
      <c r="P277" s="4">
        <v>6775</v>
      </c>
      <c r="Q277" s="4">
        <v>160754</v>
      </c>
      <c r="R277" s="4">
        <v>633559</v>
      </c>
      <c r="S277" s="5">
        <v>0.4</v>
      </c>
      <c r="T277" s="4">
        <v>253424</v>
      </c>
      <c r="U277" s="4">
        <v>886983</v>
      </c>
      <c r="V277" s="6">
        <f t="shared" si="8"/>
        <v>23948.541000000001</v>
      </c>
      <c r="W277" s="6">
        <f t="shared" si="9"/>
        <v>863034.45900000003</v>
      </c>
    </row>
    <row r="278" spans="1:23" x14ac:dyDescent="0.3">
      <c r="A278" s="2" t="s">
        <v>25</v>
      </c>
      <c r="B278" s="2">
        <v>9.0020000000000007</v>
      </c>
      <c r="C278" s="2"/>
      <c r="D278" s="2"/>
      <c r="E278" s="2">
        <v>91.1</v>
      </c>
      <c r="F278" s="2"/>
      <c r="G278" s="2">
        <v>450</v>
      </c>
      <c r="H278" s="2"/>
      <c r="I278" s="2"/>
      <c r="J278" s="3">
        <f>IF(A278="Upgrade",IF(OR(H278=4,H278=5),VLOOKUP(I278,'Renewal Rates'!$A$22:$B$27,2,FALSE),2.7%),IF(A278="Renewal",100%,0%))</f>
        <v>0</v>
      </c>
      <c r="K278" s="2" t="s">
        <v>28</v>
      </c>
      <c r="L278" s="2">
        <v>368</v>
      </c>
      <c r="M278" s="2" t="s">
        <v>23</v>
      </c>
      <c r="N278" s="2" t="s">
        <v>24</v>
      </c>
      <c r="O278" s="4">
        <v>245296</v>
      </c>
      <c r="P278" s="4">
        <v>2692</v>
      </c>
      <c r="Q278" s="4">
        <v>83401</v>
      </c>
      <c r="R278" s="4">
        <v>328697</v>
      </c>
      <c r="S278" s="5">
        <v>0.4</v>
      </c>
      <c r="T278" s="4">
        <v>131479</v>
      </c>
      <c r="U278" s="4">
        <v>460176</v>
      </c>
      <c r="V278" s="6">
        <f t="shared" si="8"/>
        <v>0</v>
      </c>
      <c r="W278" s="6">
        <f t="shared" si="9"/>
        <v>460176</v>
      </c>
    </row>
    <row r="279" spans="1:23" x14ac:dyDescent="0.3">
      <c r="A279" s="2" t="s">
        <v>21</v>
      </c>
      <c r="B279" s="2">
        <v>9.0079999999999991</v>
      </c>
      <c r="C279" s="2">
        <v>2000786343</v>
      </c>
      <c r="D279" s="2">
        <v>88.7</v>
      </c>
      <c r="E279" s="2"/>
      <c r="F279" s="2">
        <v>450</v>
      </c>
      <c r="G279" s="2">
        <v>900</v>
      </c>
      <c r="H279" s="2"/>
      <c r="I279" s="2"/>
      <c r="J279" s="3">
        <f>IF(A279="Upgrade",IF(OR(H279=4,H279=5),VLOOKUP(I279,'Renewal Rates'!$A$22:$B$27,2,FALSE),2.7%),IF(A279="Renewal",100%,0%))</f>
        <v>2.7000000000000003E-2</v>
      </c>
      <c r="K279" s="2" t="s">
        <v>22</v>
      </c>
      <c r="L279" s="2">
        <v>368</v>
      </c>
      <c r="M279" s="2" t="s">
        <v>23</v>
      </c>
      <c r="N279" s="2" t="s">
        <v>24</v>
      </c>
      <c r="O279" s="4">
        <v>474835</v>
      </c>
      <c r="P279" s="4">
        <v>5352</v>
      </c>
      <c r="Q279" s="4">
        <v>161444</v>
      </c>
      <c r="R279" s="4">
        <v>636279</v>
      </c>
      <c r="S279" s="5">
        <v>0.4</v>
      </c>
      <c r="T279" s="4">
        <v>254511</v>
      </c>
      <c r="U279" s="4">
        <v>890790</v>
      </c>
      <c r="V279" s="6">
        <f t="shared" si="8"/>
        <v>24051.33</v>
      </c>
      <c r="W279" s="6">
        <f t="shared" si="9"/>
        <v>866738.67</v>
      </c>
    </row>
    <row r="280" spans="1:23" x14ac:dyDescent="0.3">
      <c r="A280" s="2" t="s">
        <v>21</v>
      </c>
      <c r="B280" s="2">
        <v>9.0079999999999991</v>
      </c>
      <c r="C280" s="2">
        <v>2000571213</v>
      </c>
      <c r="D280" s="2">
        <v>50.5</v>
      </c>
      <c r="E280" s="2"/>
      <c r="F280" s="2">
        <v>450</v>
      </c>
      <c r="G280" s="2">
        <v>900</v>
      </c>
      <c r="H280" s="2"/>
      <c r="I280" s="2"/>
      <c r="J280" s="3">
        <f>IF(A280="Upgrade",IF(OR(H280=4,H280=5),VLOOKUP(I280,'Renewal Rates'!$A$22:$B$27,2,FALSE),2.7%),IF(A280="Renewal",100%,0%))</f>
        <v>2.7000000000000003E-2</v>
      </c>
      <c r="K280" s="2" t="s">
        <v>22</v>
      </c>
      <c r="L280" s="2">
        <v>368</v>
      </c>
      <c r="M280" s="2" t="s">
        <v>23</v>
      </c>
      <c r="N280" s="2" t="s">
        <v>24</v>
      </c>
      <c r="O280" s="4">
        <v>296885</v>
      </c>
      <c r="P280" s="4">
        <v>5876</v>
      </c>
      <c r="Q280" s="4">
        <v>100941</v>
      </c>
      <c r="R280" s="4">
        <v>397826</v>
      </c>
      <c r="S280" s="5">
        <v>0.4</v>
      </c>
      <c r="T280" s="4">
        <v>159130</v>
      </c>
      <c r="U280" s="4">
        <v>556957</v>
      </c>
      <c r="V280" s="6">
        <f t="shared" si="8"/>
        <v>15037.839000000002</v>
      </c>
      <c r="W280" s="6">
        <f t="shared" si="9"/>
        <v>541919.16099999996</v>
      </c>
    </row>
    <row r="281" spans="1:23" x14ac:dyDescent="0.3">
      <c r="A281" s="2" t="s">
        <v>21</v>
      </c>
      <c r="B281" s="2">
        <v>9.0069999999999997</v>
      </c>
      <c r="C281" s="2">
        <v>2000801151</v>
      </c>
      <c r="D281" s="2">
        <v>29.3</v>
      </c>
      <c r="E281" s="2"/>
      <c r="F281" s="2">
        <v>450</v>
      </c>
      <c r="G281" s="2">
        <v>900</v>
      </c>
      <c r="H281" s="2"/>
      <c r="I281" s="2"/>
      <c r="J281" s="3">
        <f>IF(A281="Upgrade",IF(OR(H281=4,H281=5),VLOOKUP(I281,'Renewal Rates'!$A$22:$B$27,2,FALSE),2.7%),IF(A281="Renewal",100%,0%))</f>
        <v>2.7000000000000003E-2</v>
      </c>
      <c r="K281" s="2" t="s">
        <v>22</v>
      </c>
      <c r="L281" s="2">
        <v>368</v>
      </c>
      <c r="M281" s="2" t="s">
        <v>23</v>
      </c>
      <c r="N281" s="2" t="s">
        <v>24</v>
      </c>
      <c r="O281" s="4">
        <v>169393</v>
      </c>
      <c r="P281" s="4">
        <v>5784</v>
      </c>
      <c r="Q281" s="4">
        <v>57594</v>
      </c>
      <c r="R281" s="4">
        <v>226986</v>
      </c>
      <c r="S281" s="5">
        <v>0.4</v>
      </c>
      <c r="T281" s="4">
        <v>90795</v>
      </c>
      <c r="U281" s="4">
        <v>317781</v>
      </c>
      <c r="V281" s="6">
        <f t="shared" si="8"/>
        <v>8580.0870000000014</v>
      </c>
      <c r="W281" s="6">
        <f t="shared" si="9"/>
        <v>309200.913</v>
      </c>
    </row>
    <row r="282" spans="1:23" x14ac:dyDescent="0.3">
      <c r="A282" s="2" t="s">
        <v>21</v>
      </c>
      <c r="B282" s="2">
        <v>9.0069999999999997</v>
      </c>
      <c r="C282" s="2">
        <v>2000370934</v>
      </c>
      <c r="D282" s="2">
        <v>12.2</v>
      </c>
      <c r="E282" s="2"/>
      <c r="F282" s="2">
        <v>450</v>
      </c>
      <c r="G282" s="2">
        <v>900</v>
      </c>
      <c r="H282" s="2"/>
      <c r="I282" s="2"/>
      <c r="J282" s="3">
        <f>IF(A282="Upgrade",IF(OR(H282=4,H282=5),VLOOKUP(I282,'Renewal Rates'!$A$22:$B$27,2,FALSE),2.7%),IF(A282="Renewal",100%,0%))</f>
        <v>2.7000000000000003E-2</v>
      </c>
      <c r="K282" s="2" t="s">
        <v>22</v>
      </c>
      <c r="L282" s="2">
        <v>368</v>
      </c>
      <c r="M282" s="2" t="s">
        <v>23</v>
      </c>
      <c r="N282" s="2" t="s">
        <v>24</v>
      </c>
      <c r="O282" s="4">
        <v>95156</v>
      </c>
      <c r="P282" s="4">
        <v>7800</v>
      </c>
      <c r="Q282" s="4">
        <v>32353</v>
      </c>
      <c r="R282" s="4">
        <v>127509</v>
      </c>
      <c r="S282" s="5">
        <v>0.4</v>
      </c>
      <c r="T282" s="4">
        <v>51004</v>
      </c>
      <c r="U282" s="4">
        <v>178513</v>
      </c>
      <c r="V282" s="6">
        <f t="shared" si="8"/>
        <v>4819.8510000000006</v>
      </c>
      <c r="W282" s="6">
        <f t="shared" si="9"/>
        <v>173693.149</v>
      </c>
    </row>
    <row r="283" spans="1:23" x14ac:dyDescent="0.3">
      <c r="A283" s="2" t="s">
        <v>21</v>
      </c>
      <c r="B283" s="2">
        <v>9.0069999999999997</v>
      </c>
      <c r="C283" s="2">
        <v>2000251568</v>
      </c>
      <c r="D283" s="2">
        <v>46.2</v>
      </c>
      <c r="E283" s="2"/>
      <c r="F283" s="2">
        <v>450</v>
      </c>
      <c r="G283" s="2">
        <v>900</v>
      </c>
      <c r="H283" s="2"/>
      <c r="I283" s="2"/>
      <c r="J283" s="3">
        <f>IF(A283="Upgrade",IF(OR(H283=4,H283=5),VLOOKUP(I283,'Renewal Rates'!$A$22:$B$27,2,FALSE),2.7%),IF(A283="Renewal",100%,0%))</f>
        <v>2.7000000000000003E-2</v>
      </c>
      <c r="K283" s="2" t="s">
        <v>22</v>
      </c>
      <c r="L283" s="2">
        <v>368</v>
      </c>
      <c r="M283" s="2" t="s">
        <v>23</v>
      </c>
      <c r="N283" s="2" t="s">
        <v>24</v>
      </c>
      <c r="O283" s="4">
        <v>243381</v>
      </c>
      <c r="P283" s="4">
        <v>5265</v>
      </c>
      <c r="Q283" s="4">
        <v>82750</v>
      </c>
      <c r="R283" s="4">
        <v>326131</v>
      </c>
      <c r="S283" s="5">
        <v>0.4</v>
      </c>
      <c r="T283" s="4">
        <v>130452</v>
      </c>
      <c r="U283" s="4">
        <v>456583</v>
      </c>
      <c r="V283" s="6">
        <f t="shared" si="8"/>
        <v>12327.741000000002</v>
      </c>
      <c r="W283" s="6">
        <f t="shared" si="9"/>
        <v>444255.25900000002</v>
      </c>
    </row>
    <row r="284" spans="1:23" x14ac:dyDescent="0.3">
      <c r="A284" s="2" t="s">
        <v>21</v>
      </c>
      <c r="B284" s="2">
        <v>9.0069999999999997</v>
      </c>
      <c r="C284" s="2">
        <v>2000604516</v>
      </c>
      <c r="D284" s="2">
        <v>5.5</v>
      </c>
      <c r="E284" s="2"/>
      <c r="F284" s="2">
        <v>225</v>
      </c>
      <c r="G284" s="2">
        <v>900</v>
      </c>
      <c r="H284" s="2"/>
      <c r="I284" s="2"/>
      <c r="J284" s="3">
        <f>IF(A284="Upgrade",IF(OR(H284=4,H284=5),VLOOKUP(I284,'Renewal Rates'!$A$22:$B$27,2,FALSE),2.7%),IF(A284="Renewal",100%,0%))</f>
        <v>2.7000000000000003E-2</v>
      </c>
      <c r="K284" s="2" t="s">
        <v>22</v>
      </c>
      <c r="L284" s="2">
        <v>368</v>
      </c>
      <c r="M284" s="2" t="s">
        <v>23</v>
      </c>
      <c r="N284" s="2" t="s">
        <v>24</v>
      </c>
      <c r="O284" s="4">
        <v>61138</v>
      </c>
      <c r="P284" s="4">
        <v>11134</v>
      </c>
      <c r="Q284" s="4">
        <v>20787</v>
      </c>
      <c r="R284" s="4">
        <v>81925</v>
      </c>
      <c r="S284" s="5">
        <v>0.4</v>
      </c>
      <c r="T284" s="4">
        <v>32770</v>
      </c>
      <c r="U284" s="4">
        <v>114696</v>
      </c>
      <c r="V284" s="6">
        <f t="shared" si="8"/>
        <v>3096.7920000000004</v>
      </c>
      <c r="W284" s="6">
        <f t="shared" si="9"/>
        <v>111599.208</v>
      </c>
    </row>
    <row r="285" spans="1:23" x14ac:dyDescent="0.3">
      <c r="A285" s="2" t="s">
        <v>21</v>
      </c>
      <c r="B285" s="2">
        <v>9.0069999999999997</v>
      </c>
      <c r="C285" s="2">
        <v>2000155248</v>
      </c>
      <c r="D285" s="2">
        <v>10.199999999999999</v>
      </c>
      <c r="E285" s="2"/>
      <c r="F285" s="2">
        <v>225</v>
      </c>
      <c r="G285" s="2">
        <v>900</v>
      </c>
      <c r="H285" s="2"/>
      <c r="I285" s="2"/>
      <c r="J285" s="3">
        <f>IF(A285="Upgrade",IF(OR(H285=4,H285=5),VLOOKUP(I285,'Renewal Rates'!$A$22:$B$27,2,FALSE),2.7%),IF(A285="Renewal",100%,0%))</f>
        <v>2.7000000000000003E-2</v>
      </c>
      <c r="K285" s="2" t="s">
        <v>22</v>
      </c>
      <c r="L285" s="2">
        <v>368</v>
      </c>
      <c r="M285" s="2" t="s">
        <v>23</v>
      </c>
      <c r="N285" s="2" t="s">
        <v>24</v>
      </c>
      <c r="O285" s="4">
        <v>115218</v>
      </c>
      <c r="P285" s="4">
        <v>11271</v>
      </c>
      <c r="Q285" s="4">
        <v>39174</v>
      </c>
      <c r="R285" s="4">
        <v>154391</v>
      </c>
      <c r="S285" s="5">
        <v>0.4</v>
      </c>
      <c r="T285" s="4">
        <v>61757</v>
      </c>
      <c r="U285" s="4">
        <v>216148</v>
      </c>
      <c r="V285" s="6">
        <f t="shared" si="8"/>
        <v>5835.996000000001</v>
      </c>
      <c r="W285" s="6">
        <f t="shared" si="9"/>
        <v>210312.00399999999</v>
      </c>
    </row>
    <row r="286" spans="1:23" x14ac:dyDescent="0.3">
      <c r="A286" s="2" t="s">
        <v>25</v>
      </c>
      <c r="B286" s="2">
        <v>9.0009999999999994</v>
      </c>
      <c r="C286" s="2"/>
      <c r="D286" s="2"/>
      <c r="E286" s="2">
        <v>215.4</v>
      </c>
      <c r="F286" s="2"/>
      <c r="G286" s="2">
        <v>825</v>
      </c>
      <c r="H286" s="2"/>
      <c r="I286" s="2"/>
      <c r="J286" s="3">
        <f>IF(A286="Upgrade",IF(OR(H286=4,H286=5),VLOOKUP(I286,'Renewal Rates'!$A$22:$B$27,2,FALSE),2.7%),IF(A286="Renewal",100%,0%))</f>
        <v>0</v>
      </c>
      <c r="K286" s="2" t="s">
        <v>22</v>
      </c>
      <c r="L286" s="2">
        <v>368</v>
      </c>
      <c r="M286" s="2" t="s">
        <v>23</v>
      </c>
      <c r="N286" s="2" t="s">
        <v>24</v>
      </c>
      <c r="O286" s="4">
        <v>939998</v>
      </c>
      <c r="P286" s="4">
        <v>4363</v>
      </c>
      <c r="Q286" s="4">
        <v>319599</v>
      </c>
      <c r="R286" s="4">
        <v>1259597</v>
      </c>
      <c r="S286" s="5">
        <v>0.4</v>
      </c>
      <c r="T286" s="4">
        <v>503839</v>
      </c>
      <c r="U286" s="4">
        <v>1763436</v>
      </c>
      <c r="V286" s="6">
        <f t="shared" si="8"/>
        <v>0</v>
      </c>
      <c r="W286" s="6">
        <f t="shared" si="9"/>
        <v>1763436</v>
      </c>
    </row>
    <row r="287" spans="1:23" x14ac:dyDescent="0.3">
      <c r="A287" s="2" t="s">
        <v>21</v>
      </c>
      <c r="B287" s="2">
        <v>9.02</v>
      </c>
      <c r="C287" s="2">
        <v>3000015891</v>
      </c>
      <c r="D287" s="2">
        <v>18.5</v>
      </c>
      <c r="E287" s="2"/>
      <c r="F287" s="2">
        <v>450</v>
      </c>
      <c r="G287" s="2">
        <v>825</v>
      </c>
      <c r="H287" s="2"/>
      <c r="I287" s="2"/>
      <c r="J287" s="3">
        <f>IF(A287="Upgrade",IF(OR(H287=4,H287=5),VLOOKUP(I287,'Renewal Rates'!$A$22:$B$27,2,FALSE),2.7%),IF(A287="Renewal",100%,0%))</f>
        <v>2.7000000000000003E-2</v>
      </c>
      <c r="K287" s="2" t="s">
        <v>22</v>
      </c>
      <c r="L287" s="2">
        <v>368</v>
      </c>
      <c r="M287" s="2" t="s">
        <v>23</v>
      </c>
      <c r="N287" s="2" t="s">
        <v>24</v>
      </c>
      <c r="O287" s="4">
        <v>116132</v>
      </c>
      <c r="P287" s="4">
        <v>6281</v>
      </c>
      <c r="Q287" s="4">
        <v>39485</v>
      </c>
      <c r="R287" s="4">
        <v>155617</v>
      </c>
      <c r="S287" s="5">
        <v>0.4</v>
      </c>
      <c r="T287" s="4">
        <v>62247</v>
      </c>
      <c r="U287" s="4">
        <v>217864</v>
      </c>
      <c r="V287" s="6">
        <f t="shared" si="8"/>
        <v>5882.3280000000004</v>
      </c>
      <c r="W287" s="6">
        <f t="shared" si="9"/>
        <v>211981.67199999999</v>
      </c>
    </row>
    <row r="288" spans="1:23" x14ac:dyDescent="0.3">
      <c r="A288" s="2" t="s">
        <v>21</v>
      </c>
      <c r="B288" s="2">
        <v>9.02</v>
      </c>
      <c r="C288" s="2">
        <v>2000351799</v>
      </c>
      <c r="D288" s="2">
        <v>21.8</v>
      </c>
      <c r="E288" s="2"/>
      <c r="F288" s="2">
        <v>450</v>
      </c>
      <c r="G288" s="2">
        <v>825</v>
      </c>
      <c r="H288" s="2"/>
      <c r="I288" s="2"/>
      <c r="J288" s="3">
        <f>IF(A288="Upgrade",IF(OR(H288=4,H288=5),VLOOKUP(I288,'Renewal Rates'!$A$22:$B$27,2,FALSE),2.7%),IF(A288="Renewal",100%,0%))</f>
        <v>2.7000000000000003E-2</v>
      </c>
      <c r="K288" s="2" t="s">
        <v>22</v>
      </c>
      <c r="L288" s="2">
        <v>368</v>
      </c>
      <c r="M288" s="2" t="s">
        <v>23</v>
      </c>
      <c r="N288" s="2" t="s">
        <v>24</v>
      </c>
      <c r="O288" s="4">
        <v>121152</v>
      </c>
      <c r="P288" s="4">
        <v>5562</v>
      </c>
      <c r="Q288" s="4">
        <v>41192</v>
      </c>
      <c r="R288" s="4">
        <v>162344</v>
      </c>
      <c r="S288" s="5">
        <v>0.4</v>
      </c>
      <c r="T288" s="4">
        <v>64938</v>
      </c>
      <c r="U288" s="4">
        <v>227282</v>
      </c>
      <c r="V288" s="6">
        <f t="shared" si="8"/>
        <v>6136.6140000000005</v>
      </c>
      <c r="W288" s="6">
        <f t="shared" si="9"/>
        <v>221145.386</v>
      </c>
    </row>
    <row r="289" spans="1:23" x14ac:dyDescent="0.3">
      <c r="A289" s="2" t="s">
        <v>21</v>
      </c>
      <c r="B289" s="2">
        <v>9.02</v>
      </c>
      <c r="C289" s="2">
        <v>2000835919</v>
      </c>
      <c r="D289" s="2">
        <v>8.6999999999999993</v>
      </c>
      <c r="E289" s="2"/>
      <c r="F289" s="2">
        <v>450</v>
      </c>
      <c r="G289" s="2">
        <v>825</v>
      </c>
      <c r="H289" s="2"/>
      <c r="I289" s="2"/>
      <c r="J289" s="3">
        <f>IF(A289="Upgrade",IF(OR(H289=4,H289=5),VLOOKUP(I289,'Renewal Rates'!$A$22:$B$27,2,FALSE),2.7%),IF(A289="Renewal",100%,0%))</f>
        <v>2.7000000000000003E-2</v>
      </c>
      <c r="K289" s="2" t="s">
        <v>22</v>
      </c>
      <c r="L289" s="2">
        <v>368</v>
      </c>
      <c r="M289" s="2" t="s">
        <v>23</v>
      </c>
      <c r="N289" s="2" t="s">
        <v>24</v>
      </c>
      <c r="O289" s="4">
        <v>81768</v>
      </c>
      <c r="P289" s="4">
        <v>9405</v>
      </c>
      <c r="Q289" s="4">
        <v>27801</v>
      </c>
      <c r="R289" s="4">
        <v>109569</v>
      </c>
      <c r="S289" s="5">
        <v>0.4</v>
      </c>
      <c r="T289" s="4">
        <v>43827</v>
      </c>
      <c r="U289" s="4">
        <v>153396</v>
      </c>
      <c r="V289" s="6">
        <f t="shared" si="8"/>
        <v>4141.6920000000009</v>
      </c>
      <c r="W289" s="6">
        <f t="shared" si="9"/>
        <v>149254.30799999999</v>
      </c>
    </row>
    <row r="290" spans="1:23" x14ac:dyDescent="0.3">
      <c r="A290" s="2" t="s">
        <v>21</v>
      </c>
      <c r="B290" s="2">
        <v>9.0180000000000007</v>
      </c>
      <c r="C290" s="2">
        <v>2000811210</v>
      </c>
      <c r="D290" s="2">
        <v>26.4</v>
      </c>
      <c r="E290" s="2"/>
      <c r="F290" s="2">
        <v>450</v>
      </c>
      <c r="G290" s="2">
        <v>675</v>
      </c>
      <c r="H290" s="2"/>
      <c r="I290" s="2"/>
      <c r="J290" s="3">
        <f>IF(A290="Upgrade",IF(OR(H290=4,H290=5),VLOOKUP(I290,'Renewal Rates'!$A$22:$B$27,2,FALSE),2.7%),IF(A290="Renewal",100%,0%))</f>
        <v>2.7000000000000003E-2</v>
      </c>
      <c r="K290" s="2" t="s">
        <v>22</v>
      </c>
      <c r="L290" s="2">
        <v>368</v>
      </c>
      <c r="M290" s="2" t="s">
        <v>23</v>
      </c>
      <c r="N290" s="2" t="s">
        <v>24</v>
      </c>
      <c r="O290" s="4">
        <v>120453</v>
      </c>
      <c r="P290" s="4">
        <v>4566</v>
      </c>
      <c r="Q290" s="4">
        <v>40954</v>
      </c>
      <c r="R290" s="4">
        <v>161407</v>
      </c>
      <c r="S290" s="5">
        <v>0.4</v>
      </c>
      <c r="T290" s="4">
        <v>64563</v>
      </c>
      <c r="U290" s="4">
        <v>225970</v>
      </c>
      <c r="V290" s="6">
        <f t="shared" si="8"/>
        <v>6101.1900000000005</v>
      </c>
      <c r="W290" s="6">
        <f t="shared" si="9"/>
        <v>219868.81</v>
      </c>
    </row>
    <row r="291" spans="1:23" x14ac:dyDescent="0.3">
      <c r="A291" s="2" t="s">
        <v>21</v>
      </c>
      <c r="B291" s="2">
        <v>9.0180000000000007</v>
      </c>
      <c r="C291" s="2">
        <v>2000776352</v>
      </c>
      <c r="D291" s="2">
        <v>74.400000000000006</v>
      </c>
      <c r="E291" s="2"/>
      <c r="F291" s="2">
        <v>225</v>
      </c>
      <c r="G291" s="2">
        <v>675</v>
      </c>
      <c r="H291" s="2"/>
      <c r="I291" s="2"/>
      <c r="J291" s="3">
        <f>IF(A291="Upgrade",IF(OR(H291=4,H291=5),VLOOKUP(I291,'Renewal Rates'!$A$22:$B$27,2,FALSE),2.7%),IF(A291="Renewal",100%,0%))</f>
        <v>2.7000000000000003E-2</v>
      </c>
      <c r="K291" s="2" t="s">
        <v>22</v>
      </c>
      <c r="L291" s="2">
        <v>368</v>
      </c>
      <c r="M291" s="2" t="s">
        <v>23</v>
      </c>
      <c r="N291" s="2" t="s">
        <v>24</v>
      </c>
      <c r="O291" s="4">
        <v>300054</v>
      </c>
      <c r="P291" s="4">
        <v>4033</v>
      </c>
      <c r="Q291" s="4">
        <v>102018</v>
      </c>
      <c r="R291" s="4">
        <v>402072</v>
      </c>
      <c r="S291" s="5">
        <v>0.4</v>
      </c>
      <c r="T291" s="4">
        <v>160829</v>
      </c>
      <c r="U291" s="4">
        <v>562901</v>
      </c>
      <c r="V291" s="6">
        <f t="shared" si="8"/>
        <v>15198.327000000001</v>
      </c>
      <c r="W291" s="6">
        <f t="shared" si="9"/>
        <v>547702.67299999995</v>
      </c>
    </row>
    <row r="292" spans="1:23" x14ac:dyDescent="0.3">
      <c r="A292" s="2" t="s">
        <v>21</v>
      </c>
      <c r="B292" s="2">
        <v>9.0180000000000007</v>
      </c>
      <c r="C292" s="2">
        <v>2000692873</v>
      </c>
      <c r="D292" s="2">
        <v>33</v>
      </c>
      <c r="E292" s="2"/>
      <c r="F292" s="2">
        <v>225</v>
      </c>
      <c r="G292" s="2">
        <v>675</v>
      </c>
      <c r="H292" s="2"/>
      <c r="I292" s="2"/>
      <c r="J292" s="3">
        <f>IF(A292="Upgrade",IF(OR(H292=4,H292=5),VLOOKUP(I292,'Renewal Rates'!$A$22:$B$27,2,FALSE),2.7%),IF(A292="Renewal",100%,0%))</f>
        <v>2.7000000000000003E-2</v>
      </c>
      <c r="K292" s="2" t="s">
        <v>22</v>
      </c>
      <c r="L292" s="2">
        <v>368</v>
      </c>
      <c r="M292" s="2" t="s">
        <v>23</v>
      </c>
      <c r="N292" s="2" t="s">
        <v>24</v>
      </c>
      <c r="O292" s="4">
        <v>147766</v>
      </c>
      <c r="P292" s="4">
        <v>4483</v>
      </c>
      <c r="Q292" s="4">
        <v>50240</v>
      </c>
      <c r="R292" s="4">
        <v>198006</v>
      </c>
      <c r="S292" s="5">
        <v>0.4</v>
      </c>
      <c r="T292" s="4">
        <v>79202</v>
      </c>
      <c r="U292" s="4">
        <v>277209</v>
      </c>
      <c r="V292" s="6">
        <f t="shared" si="8"/>
        <v>7484.6430000000009</v>
      </c>
      <c r="W292" s="6">
        <f t="shared" si="9"/>
        <v>269724.35700000002</v>
      </c>
    </row>
    <row r="293" spans="1:23" x14ac:dyDescent="0.3">
      <c r="A293" s="2" t="s">
        <v>21</v>
      </c>
      <c r="B293" s="2">
        <v>9.0190000000000001</v>
      </c>
      <c r="C293" s="2">
        <v>2000825924</v>
      </c>
      <c r="D293" s="2">
        <v>37.799999999999997</v>
      </c>
      <c r="E293" s="2"/>
      <c r="F293" s="2">
        <v>225</v>
      </c>
      <c r="G293" s="2">
        <v>525</v>
      </c>
      <c r="H293" s="2"/>
      <c r="I293" s="2"/>
      <c r="J293" s="3">
        <f>IF(A293="Upgrade",IF(OR(H293=4,H293=5),VLOOKUP(I293,'Renewal Rates'!$A$22:$B$27,2,FALSE),2.7%),IF(A293="Renewal",100%,0%))</f>
        <v>2.7000000000000003E-2</v>
      </c>
      <c r="K293" s="2" t="s">
        <v>22</v>
      </c>
      <c r="L293" s="2">
        <v>368</v>
      </c>
      <c r="M293" s="2" t="s">
        <v>23</v>
      </c>
      <c r="N293" s="2" t="s">
        <v>24</v>
      </c>
      <c r="O293" s="4">
        <v>115819</v>
      </c>
      <c r="P293" s="4">
        <v>3062</v>
      </c>
      <c r="Q293" s="4">
        <v>39378</v>
      </c>
      <c r="R293" s="4">
        <v>155197</v>
      </c>
      <c r="S293" s="5">
        <v>0.4</v>
      </c>
      <c r="T293" s="4">
        <v>62079</v>
      </c>
      <c r="U293" s="4">
        <v>217276</v>
      </c>
      <c r="V293" s="6">
        <f t="shared" si="8"/>
        <v>5866.4520000000011</v>
      </c>
      <c r="W293" s="6">
        <f t="shared" si="9"/>
        <v>211409.54800000001</v>
      </c>
    </row>
    <row r="294" spans="1:23" x14ac:dyDescent="0.3">
      <c r="A294" s="2" t="s">
        <v>21</v>
      </c>
      <c r="B294" s="2">
        <v>9.0150000000000006</v>
      </c>
      <c r="C294" s="2">
        <v>2000721088</v>
      </c>
      <c r="D294" s="2">
        <v>62.3</v>
      </c>
      <c r="E294" s="2"/>
      <c r="F294" s="2">
        <v>450</v>
      </c>
      <c r="G294" s="2">
        <v>825</v>
      </c>
      <c r="H294" s="2"/>
      <c r="I294" s="2"/>
      <c r="J294" s="3">
        <f>IF(A294="Upgrade",IF(OR(H294=4,H294=5),VLOOKUP(I294,'Renewal Rates'!$A$22:$B$27,2,FALSE),2.7%),IF(A294="Renewal",100%,0%))</f>
        <v>2.7000000000000003E-2</v>
      </c>
      <c r="K294" s="2" t="s">
        <v>22</v>
      </c>
      <c r="L294" s="2">
        <v>375</v>
      </c>
      <c r="M294" s="2" t="s">
        <v>23</v>
      </c>
      <c r="N294" s="2" t="s">
        <v>24</v>
      </c>
      <c r="O294" s="4">
        <v>327521</v>
      </c>
      <c r="P294" s="4">
        <v>5257</v>
      </c>
      <c r="Q294" s="4">
        <v>111357</v>
      </c>
      <c r="R294" s="4">
        <v>438878</v>
      </c>
      <c r="S294" s="5">
        <v>0.4</v>
      </c>
      <c r="T294" s="4">
        <v>175551</v>
      </c>
      <c r="U294" s="4">
        <v>614429</v>
      </c>
      <c r="V294" s="6">
        <f t="shared" si="8"/>
        <v>16589.583000000002</v>
      </c>
      <c r="W294" s="6">
        <f t="shared" si="9"/>
        <v>597839.41700000002</v>
      </c>
    </row>
    <row r="295" spans="1:23" x14ac:dyDescent="0.3">
      <c r="A295" s="2" t="s">
        <v>21</v>
      </c>
      <c r="B295" s="2">
        <v>9.0169999999999995</v>
      </c>
      <c r="C295" s="2">
        <v>2000338955</v>
      </c>
      <c r="D295" s="2">
        <v>21.2</v>
      </c>
      <c r="E295" s="2"/>
      <c r="F295" s="2">
        <v>300</v>
      </c>
      <c r="G295" s="2">
        <v>600</v>
      </c>
      <c r="H295" s="2"/>
      <c r="I295" s="2"/>
      <c r="J295" s="3">
        <f>IF(A295="Upgrade",IF(OR(H295=4,H295=5),VLOOKUP(I295,'Renewal Rates'!$A$22:$B$27,2,FALSE),2.7%),IF(A295="Renewal",100%,0%))</f>
        <v>2.7000000000000003E-2</v>
      </c>
      <c r="K295" s="2" t="s">
        <v>22</v>
      </c>
      <c r="L295" s="2">
        <v>368</v>
      </c>
      <c r="M295" s="2" t="s">
        <v>23</v>
      </c>
      <c r="N295" s="2" t="s">
        <v>24</v>
      </c>
      <c r="O295" s="4">
        <v>84808</v>
      </c>
      <c r="P295" s="4">
        <v>4003</v>
      </c>
      <c r="Q295" s="4">
        <v>28835</v>
      </c>
      <c r="R295" s="4">
        <v>113643</v>
      </c>
      <c r="S295" s="5">
        <v>0.4</v>
      </c>
      <c r="T295" s="4">
        <v>45457</v>
      </c>
      <c r="U295" s="4">
        <v>159100</v>
      </c>
      <c r="V295" s="6">
        <f t="shared" si="8"/>
        <v>4295.7000000000007</v>
      </c>
      <c r="W295" s="6">
        <f t="shared" si="9"/>
        <v>154804.29999999999</v>
      </c>
    </row>
    <row r="296" spans="1:23" x14ac:dyDescent="0.3">
      <c r="A296" s="2" t="s">
        <v>21</v>
      </c>
      <c r="B296" s="2">
        <v>9.0169999999999995</v>
      </c>
      <c r="C296" s="2">
        <v>2000038937</v>
      </c>
      <c r="D296" s="2">
        <v>22.6</v>
      </c>
      <c r="E296" s="2"/>
      <c r="F296" s="2">
        <v>300</v>
      </c>
      <c r="G296" s="2">
        <v>600</v>
      </c>
      <c r="H296" s="2"/>
      <c r="I296" s="2"/>
      <c r="J296" s="3">
        <f>IF(A296="Upgrade",IF(OR(H296=4,H296=5),VLOOKUP(I296,'Renewal Rates'!$A$22:$B$27,2,FALSE),2.7%),IF(A296="Renewal",100%,0%))</f>
        <v>2.7000000000000003E-2</v>
      </c>
      <c r="K296" s="2" t="s">
        <v>22</v>
      </c>
      <c r="L296" s="2">
        <v>368</v>
      </c>
      <c r="M296" s="2" t="s">
        <v>23</v>
      </c>
      <c r="N296" s="2" t="s">
        <v>24</v>
      </c>
      <c r="O296" s="4">
        <v>86263</v>
      </c>
      <c r="P296" s="4">
        <v>3818</v>
      </c>
      <c r="Q296" s="4">
        <v>29329</v>
      </c>
      <c r="R296" s="4">
        <v>115592</v>
      </c>
      <c r="S296" s="5">
        <v>0.4</v>
      </c>
      <c r="T296" s="4">
        <v>46237</v>
      </c>
      <c r="U296" s="4">
        <v>161829</v>
      </c>
      <c r="V296" s="6">
        <f t="shared" si="8"/>
        <v>4369.3830000000007</v>
      </c>
      <c r="W296" s="6">
        <f t="shared" si="9"/>
        <v>157459.617</v>
      </c>
    </row>
    <row r="297" spans="1:23" x14ac:dyDescent="0.3">
      <c r="A297" s="2" t="s">
        <v>21</v>
      </c>
      <c r="B297" s="2">
        <v>9.0169999999999995</v>
      </c>
      <c r="C297" s="2">
        <v>2000870410</v>
      </c>
      <c r="D297" s="2">
        <v>20.100000000000001</v>
      </c>
      <c r="E297" s="2"/>
      <c r="F297" s="2">
        <v>300</v>
      </c>
      <c r="G297" s="2">
        <v>600</v>
      </c>
      <c r="H297" s="2"/>
      <c r="I297" s="2"/>
      <c r="J297" s="3">
        <f>IF(A297="Upgrade",IF(OR(H297=4,H297=5),VLOOKUP(I297,'Renewal Rates'!$A$22:$B$27,2,FALSE),2.7%),IF(A297="Renewal",100%,0%))</f>
        <v>2.7000000000000003E-2</v>
      </c>
      <c r="K297" s="2" t="s">
        <v>22</v>
      </c>
      <c r="L297" s="2">
        <v>368</v>
      </c>
      <c r="M297" s="2" t="s">
        <v>23</v>
      </c>
      <c r="N297" s="2" t="s">
        <v>24</v>
      </c>
      <c r="O297" s="4">
        <v>83722</v>
      </c>
      <c r="P297" s="4">
        <v>4158</v>
      </c>
      <c r="Q297" s="4">
        <v>28466</v>
      </c>
      <c r="R297" s="4">
        <v>112188</v>
      </c>
      <c r="S297" s="5">
        <v>0.4</v>
      </c>
      <c r="T297" s="4">
        <v>44875</v>
      </c>
      <c r="U297" s="4">
        <v>157063</v>
      </c>
      <c r="V297" s="6">
        <f t="shared" si="8"/>
        <v>4240.7010000000009</v>
      </c>
      <c r="W297" s="6">
        <f t="shared" si="9"/>
        <v>152822.299</v>
      </c>
    </row>
    <row r="298" spans="1:23" x14ac:dyDescent="0.3">
      <c r="A298" s="2" t="s">
        <v>21</v>
      </c>
      <c r="B298" s="2">
        <v>9.0169999999999995</v>
      </c>
      <c r="C298" s="2">
        <v>2000250726</v>
      </c>
      <c r="D298" s="2">
        <v>54.3</v>
      </c>
      <c r="E298" s="2"/>
      <c r="F298" s="2">
        <v>300</v>
      </c>
      <c r="G298" s="2">
        <v>600</v>
      </c>
      <c r="H298" s="2">
        <v>4</v>
      </c>
      <c r="I298" s="2" t="s">
        <v>27</v>
      </c>
      <c r="J298" s="3">
        <f>IF(A298="Upgrade",IF(OR(H298=4,H298=5),VLOOKUP(I298,'Renewal Rates'!$A$22:$B$27,2,FALSE),2.7%),IF(A298="Renewal",100%,0%))</f>
        <v>0.116578</v>
      </c>
      <c r="K298" s="2" t="s">
        <v>22</v>
      </c>
      <c r="L298" s="2">
        <v>368</v>
      </c>
      <c r="M298" s="2" t="s">
        <v>23</v>
      </c>
      <c r="N298" s="2" t="s">
        <v>24</v>
      </c>
      <c r="O298" s="4">
        <v>195815</v>
      </c>
      <c r="P298" s="4">
        <v>3603</v>
      </c>
      <c r="Q298" s="4">
        <v>66577</v>
      </c>
      <c r="R298" s="4">
        <v>262392</v>
      </c>
      <c r="S298" s="5">
        <v>0.4</v>
      </c>
      <c r="T298" s="4">
        <v>104957</v>
      </c>
      <c r="U298" s="4">
        <v>367349</v>
      </c>
      <c r="V298" s="6">
        <f t="shared" si="8"/>
        <v>42824.811721999999</v>
      </c>
      <c r="W298" s="6">
        <f t="shared" si="9"/>
        <v>324524.18827799999</v>
      </c>
    </row>
    <row r="299" spans="1:23" x14ac:dyDescent="0.3">
      <c r="A299" s="2" t="s">
        <v>21</v>
      </c>
      <c r="B299" s="2">
        <v>9.0139999999999993</v>
      </c>
      <c r="C299" s="2">
        <v>2000514771</v>
      </c>
      <c r="D299" s="2">
        <v>13.7</v>
      </c>
      <c r="E299" s="2"/>
      <c r="F299" s="2">
        <v>450</v>
      </c>
      <c r="G299" s="2">
        <v>750</v>
      </c>
      <c r="H299" s="2"/>
      <c r="I299" s="2"/>
      <c r="J299" s="3">
        <f>IF(A299="Upgrade",IF(OR(H299=4,H299=5),VLOOKUP(I299,'Renewal Rates'!$A$22:$B$27,2,FALSE),2.7%),IF(A299="Renewal",100%,0%))</f>
        <v>2.7000000000000003E-2</v>
      </c>
      <c r="K299" s="2" t="s">
        <v>22</v>
      </c>
      <c r="L299" s="2">
        <v>375</v>
      </c>
      <c r="M299" s="2" t="s">
        <v>23</v>
      </c>
      <c r="N299" s="2" t="s">
        <v>24</v>
      </c>
      <c r="O299" s="4">
        <v>87580</v>
      </c>
      <c r="P299" s="4">
        <v>6404</v>
      </c>
      <c r="Q299" s="4">
        <v>29777</v>
      </c>
      <c r="R299" s="4">
        <v>117358</v>
      </c>
      <c r="S299" s="5">
        <v>0.4</v>
      </c>
      <c r="T299" s="4">
        <v>46943</v>
      </c>
      <c r="U299" s="4">
        <v>164301</v>
      </c>
      <c r="V299" s="6">
        <f t="shared" si="8"/>
        <v>4436.1270000000004</v>
      </c>
      <c r="W299" s="6">
        <f t="shared" si="9"/>
        <v>159864.87299999999</v>
      </c>
    </row>
    <row r="300" spans="1:23" x14ac:dyDescent="0.3">
      <c r="A300" s="2" t="s">
        <v>21</v>
      </c>
      <c r="B300" s="2">
        <v>9.0139999999999993</v>
      </c>
      <c r="C300" s="2">
        <v>3000007134</v>
      </c>
      <c r="D300" s="2">
        <v>72.3</v>
      </c>
      <c r="E300" s="2"/>
      <c r="F300" s="2">
        <v>450</v>
      </c>
      <c r="G300" s="2">
        <v>750</v>
      </c>
      <c r="H300" s="2"/>
      <c r="I300" s="2"/>
      <c r="J300" s="3">
        <f>IF(A300="Upgrade",IF(OR(H300=4,H300=5),VLOOKUP(I300,'Renewal Rates'!$A$22:$B$27,2,FALSE),2.7%),IF(A300="Renewal",100%,0%))</f>
        <v>2.7000000000000003E-2</v>
      </c>
      <c r="K300" s="2" t="s">
        <v>22</v>
      </c>
      <c r="L300" s="2">
        <v>375</v>
      </c>
      <c r="M300" s="2" t="s">
        <v>23</v>
      </c>
      <c r="N300" s="2" t="s">
        <v>24</v>
      </c>
      <c r="O300" s="4">
        <v>308476</v>
      </c>
      <c r="P300" s="4">
        <v>4264</v>
      </c>
      <c r="Q300" s="4">
        <v>104882</v>
      </c>
      <c r="R300" s="4">
        <v>413357</v>
      </c>
      <c r="S300" s="5">
        <v>0.4</v>
      </c>
      <c r="T300" s="4">
        <v>165343</v>
      </c>
      <c r="U300" s="4">
        <v>578700</v>
      </c>
      <c r="V300" s="6">
        <f t="shared" si="8"/>
        <v>15624.900000000001</v>
      </c>
      <c r="W300" s="6">
        <f t="shared" si="9"/>
        <v>563075.1</v>
      </c>
    </row>
    <row r="301" spans="1:23" x14ac:dyDescent="0.3">
      <c r="A301" s="2" t="s">
        <v>21</v>
      </c>
      <c r="B301" s="2">
        <v>9.0139999999999993</v>
      </c>
      <c r="C301" s="2">
        <v>3000007133</v>
      </c>
      <c r="D301" s="2">
        <v>20.399999999999999</v>
      </c>
      <c r="E301" s="2"/>
      <c r="F301" s="2">
        <v>450</v>
      </c>
      <c r="G301" s="2">
        <v>750</v>
      </c>
      <c r="H301" s="2"/>
      <c r="I301" s="2"/>
      <c r="J301" s="3">
        <f>IF(A301="Upgrade",IF(OR(H301=4,H301=5),VLOOKUP(I301,'Renewal Rates'!$A$22:$B$27,2,FALSE),2.7%),IF(A301="Renewal",100%,0%))</f>
        <v>2.7000000000000003E-2</v>
      </c>
      <c r="K301" s="2" t="s">
        <v>22</v>
      </c>
      <c r="L301" s="2">
        <v>375</v>
      </c>
      <c r="M301" s="2" t="s">
        <v>23</v>
      </c>
      <c r="N301" s="2" t="s">
        <v>24</v>
      </c>
      <c r="O301" s="4">
        <v>116094</v>
      </c>
      <c r="P301" s="4">
        <v>5704</v>
      </c>
      <c r="Q301" s="4">
        <v>39472</v>
      </c>
      <c r="R301" s="4">
        <v>155566</v>
      </c>
      <c r="S301" s="5">
        <v>0.4</v>
      </c>
      <c r="T301" s="4">
        <v>62226</v>
      </c>
      <c r="U301" s="4">
        <v>217792</v>
      </c>
      <c r="V301" s="6">
        <f t="shared" si="8"/>
        <v>5880.3840000000009</v>
      </c>
      <c r="W301" s="6">
        <f t="shared" si="9"/>
        <v>211911.61600000001</v>
      </c>
    </row>
    <row r="302" spans="1:23" x14ac:dyDescent="0.3">
      <c r="A302" s="2" t="s">
        <v>21</v>
      </c>
      <c r="B302" s="2">
        <v>9.0129999999999999</v>
      </c>
      <c r="C302" s="2">
        <v>2000621128</v>
      </c>
      <c r="D302" s="2">
        <v>62.9</v>
      </c>
      <c r="E302" s="2"/>
      <c r="F302" s="2">
        <v>225</v>
      </c>
      <c r="G302" s="2">
        <v>525</v>
      </c>
      <c r="H302" s="2"/>
      <c r="I302" s="2"/>
      <c r="J302" s="3">
        <f>IF(A302="Upgrade",IF(OR(H302=4,H302=5),VLOOKUP(I302,'Renewal Rates'!$A$22:$B$27,2,FALSE),2.7%),IF(A302="Renewal",100%,0%))</f>
        <v>2.7000000000000003E-2</v>
      </c>
      <c r="K302" s="2" t="s">
        <v>22</v>
      </c>
      <c r="L302" s="2">
        <v>375</v>
      </c>
      <c r="M302" s="2" t="s">
        <v>23</v>
      </c>
      <c r="N302" s="2" t="s">
        <v>24</v>
      </c>
      <c r="O302" s="4">
        <v>195501</v>
      </c>
      <c r="P302" s="4">
        <v>3106</v>
      </c>
      <c r="Q302" s="4">
        <v>66470</v>
      </c>
      <c r="R302" s="4">
        <v>261971</v>
      </c>
      <c r="S302" s="5">
        <v>0.4</v>
      </c>
      <c r="T302" s="4">
        <v>104788</v>
      </c>
      <c r="U302" s="4">
        <v>366759</v>
      </c>
      <c r="V302" s="6">
        <f t="shared" si="8"/>
        <v>9902.4930000000004</v>
      </c>
      <c r="W302" s="6">
        <f t="shared" si="9"/>
        <v>356856.50699999998</v>
      </c>
    </row>
    <row r="303" spans="1:23" x14ac:dyDescent="0.3">
      <c r="A303" s="2" t="s">
        <v>21</v>
      </c>
      <c r="B303" s="2">
        <v>9.0129999999999999</v>
      </c>
      <c r="C303" s="2">
        <v>3000098016</v>
      </c>
      <c r="D303" s="2">
        <v>3.3</v>
      </c>
      <c r="E303" s="2"/>
      <c r="F303" s="2">
        <v>225</v>
      </c>
      <c r="G303" s="2">
        <v>525</v>
      </c>
      <c r="H303" s="2"/>
      <c r="I303" s="2"/>
      <c r="J303" s="3">
        <f>IF(A303="Upgrade",IF(OR(H303=4,H303=5),VLOOKUP(I303,'Renewal Rates'!$A$22:$B$27,2,FALSE),2.7%),IF(A303="Renewal",100%,0%))</f>
        <v>2.7000000000000003E-2</v>
      </c>
      <c r="K303" s="2" t="s">
        <v>22</v>
      </c>
      <c r="L303" s="2">
        <v>375</v>
      </c>
      <c r="M303" s="2" t="s">
        <v>23</v>
      </c>
      <c r="N303" s="2" t="s">
        <v>24</v>
      </c>
      <c r="O303" s="4">
        <v>63146</v>
      </c>
      <c r="P303" s="4">
        <v>19409</v>
      </c>
      <c r="Q303" s="4">
        <v>21470</v>
      </c>
      <c r="R303" s="4">
        <v>84615</v>
      </c>
      <c r="S303" s="5">
        <v>0.4</v>
      </c>
      <c r="T303" s="4">
        <v>33846</v>
      </c>
      <c r="U303" s="4">
        <v>118462</v>
      </c>
      <c r="V303" s="6">
        <f t="shared" si="8"/>
        <v>3198.4740000000002</v>
      </c>
      <c r="W303" s="6">
        <f t="shared" si="9"/>
        <v>115263.526</v>
      </c>
    </row>
    <row r="304" spans="1:23" x14ac:dyDescent="0.3">
      <c r="A304" s="2" t="s">
        <v>25</v>
      </c>
      <c r="B304" s="2">
        <v>9.0060000000000002</v>
      </c>
      <c r="C304" s="2"/>
      <c r="D304" s="2"/>
      <c r="E304" s="2">
        <v>40.6</v>
      </c>
      <c r="F304" s="2"/>
      <c r="G304" s="2">
        <v>375</v>
      </c>
      <c r="H304" s="2"/>
      <c r="I304" s="2"/>
      <c r="J304" s="3">
        <f>IF(A304="Upgrade",IF(OR(H304=4,H304=5),VLOOKUP(I304,'Renewal Rates'!$A$22:$B$27,2,FALSE),2.7%),IF(A304="Renewal",100%,0%))</f>
        <v>0</v>
      </c>
      <c r="K304" s="2" t="s">
        <v>22</v>
      </c>
      <c r="L304" s="2">
        <v>375</v>
      </c>
      <c r="M304" s="2" t="s">
        <v>23</v>
      </c>
      <c r="N304" s="2" t="s">
        <v>24</v>
      </c>
      <c r="O304" s="4">
        <v>93359</v>
      </c>
      <c r="P304" s="4">
        <v>2297</v>
      </c>
      <c r="Q304" s="4">
        <v>31742</v>
      </c>
      <c r="R304" s="4">
        <v>125102</v>
      </c>
      <c r="S304" s="5">
        <v>0.4</v>
      </c>
      <c r="T304" s="4">
        <v>50041</v>
      </c>
      <c r="U304" s="4">
        <v>175142</v>
      </c>
      <c r="V304" s="6">
        <f t="shared" si="8"/>
        <v>0</v>
      </c>
      <c r="W304" s="6">
        <f t="shared" si="9"/>
        <v>175142</v>
      </c>
    </row>
    <row r="305" spans="1:23" x14ac:dyDescent="0.3">
      <c r="A305" s="2" t="s">
        <v>21</v>
      </c>
      <c r="B305" s="2">
        <v>10.021000000000001</v>
      </c>
      <c r="C305" s="2">
        <v>2000718892</v>
      </c>
      <c r="D305" s="2">
        <v>19.8</v>
      </c>
      <c r="E305" s="2"/>
      <c r="F305" s="2">
        <v>375</v>
      </c>
      <c r="G305" s="2">
        <v>375</v>
      </c>
      <c r="H305" s="2"/>
      <c r="I305" s="2"/>
      <c r="J305" s="3">
        <f>IF(A305="Upgrade",IF(OR(H305=4,H305=5),VLOOKUP(I305,'Renewal Rates'!$A$22:$B$27,2,FALSE),2.7%),IF(A305="Renewal",100%,0%))</f>
        <v>2.7000000000000003E-2</v>
      </c>
      <c r="K305" s="2" t="s">
        <v>22</v>
      </c>
      <c r="L305" s="2">
        <v>376</v>
      </c>
      <c r="M305" s="2" t="s">
        <v>23</v>
      </c>
      <c r="N305" s="2" t="s">
        <v>24</v>
      </c>
      <c r="O305" s="4">
        <v>78893</v>
      </c>
      <c r="P305" s="4">
        <v>3986</v>
      </c>
      <c r="Q305" s="4">
        <v>26823</v>
      </c>
      <c r="R305" s="4">
        <v>105716</v>
      </c>
      <c r="S305" s="5">
        <v>0.4</v>
      </c>
      <c r="T305" s="4">
        <v>42286</v>
      </c>
      <c r="U305" s="4">
        <v>148002</v>
      </c>
      <c r="V305" s="6">
        <f t="shared" si="8"/>
        <v>3996.0540000000005</v>
      </c>
      <c r="W305" s="6">
        <f t="shared" si="9"/>
        <v>144005.946</v>
      </c>
    </row>
    <row r="306" spans="1:23" x14ac:dyDescent="0.3">
      <c r="A306" s="2" t="s">
        <v>21</v>
      </c>
      <c r="B306" s="2">
        <v>10.021000000000001</v>
      </c>
      <c r="C306" s="2">
        <v>2000423931</v>
      </c>
      <c r="D306" s="2">
        <v>20.2</v>
      </c>
      <c r="E306" s="2"/>
      <c r="F306" s="2">
        <v>300</v>
      </c>
      <c r="G306" s="2">
        <v>375</v>
      </c>
      <c r="H306" s="2"/>
      <c r="I306" s="2"/>
      <c r="J306" s="3">
        <f>IF(A306="Upgrade",IF(OR(H306=4,H306=5),VLOOKUP(I306,'Renewal Rates'!$A$22:$B$27,2,FALSE),2.7%),IF(A306="Renewal",100%,0%))</f>
        <v>2.7000000000000003E-2</v>
      </c>
      <c r="K306" s="2" t="s">
        <v>22</v>
      </c>
      <c r="L306" s="2">
        <v>376</v>
      </c>
      <c r="M306" s="2" t="s">
        <v>23</v>
      </c>
      <c r="N306" s="2" t="s">
        <v>24</v>
      </c>
      <c r="O306" s="4">
        <v>65884</v>
      </c>
      <c r="P306" s="4">
        <v>3254</v>
      </c>
      <c r="Q306" s="4">
        <v>22400</v>
      </c>
      <c r="R306" s="4">
        <v>88284</v>
      </c>
      <c r="S306" s="5">
        <v>0.4</v>
      </c>
      <c r="T306" s="4">
        <v>35314</v>
      </c>
      <c r="U306" s="4">
        <v>123598</v>
      </c>
      <c r="V306" s="6">
        <f t="shared" si="8"/>
        <v>3337.1460000000002</v>
      </c>
      <c r="W306" s="6">
        <f t="shared" si="9"/>
        <v>120260.85400000001</v>
      </c>
    </row>
    <row r="307" spans="1:23" x14ac:dyDescent="0.3">
      <c r="A307" s="2" t="s">
        <v>21</v>
      </c>
      <c r="B307" s="2">
        <v>10.021000000000001</v>
      </c>
      <c r="C307" s="2">
        <v>2000728280</v>
      </c>
      <c r="D307" s="2">
        <v>29.2</v>
      </c>
      <c r="E307" s="2"/>
      <c r="F307" s="2">
        <v>300</v>
      </c>
      <c r="G307" s="2">
        <v>375</v>
      </c>
      <c r="H307" s="2"/>
      <c r="I307" s="2"/>
      <c r="J307" s="3">
        <f>IF(A307="Upgrade",IF(OR(H307=4,H307=5),VLOOKUP(I307,'Renewal Rates'!$A$22:$B$27,2,FALSE),2.7%),IF(A307="Renewal",100%,0%))</f>
        <v>2.7000000000000003E-2</v>
      </c>
      <c r="K307" s="2" t="s">
        <v>22</v>
      </c>
      <c r="L307" s="2">
        <v>376</v>
      </c>
      <c r="M307" s="2" t="s">
        <v>23</v>
      </c>
      <c r="N307" s="2" t="s">
        <v>24</v>
      </c>
      <c r="O307" s="4">
        <v>70849</v>
      </c>
      <c r="P307" s="4">
        <v>2425</v>
      </c>
      <c r="Q307" s="4">
        <v>24089</v>
      </c>
      <c r="R307" s="4">
        <v>94938</v>
      </c>
      <c r="S307" s="5">
        <v>0.4</v>
      </c>
      <c r="T307" s="4">
        <v>37975</v>
      </c>
      <c r="U307" s="4">
        <v>132913</v>
      </c>
      <c r="V307" s="6">
        <f t="shared" si="8"/>
        <v>3588.6510000000003</v>
      </c>
      <c r="W307" s="6">
        <f t="shared" si="9"/>
        <v>129324.349</v>
      </c>
    </row>
    <row r="308" spans="1:23" x14ac:dyDescent="0.3">
      <c r="A308" s="2" t="s">
        <v>21</v>
      </c>
      <c r="B308" s="2">
        <v>10.021000000000001</v>
      </c>
      <c r="C308" s="2">
        <v>2000121653</v>
      </c>
      <c r="D308" s="2">
        <v>37.6</v>
      </c>
      <c r="E308" s="2"/>
      <c r="F308" s="2">
        <v>225</v>
      </c>
      <c r="G308" s="2">
        <v>375</v>
      </c>
      <c r="H308" s="2"/>
      <c r="I308" s="2"/>
      <c r="J308" s="3">
        <f>IF(A308="Upgrade",IF(OR(H308=4,H308=5),VLOOKUP(I308,'Renewal Rates'!$A$22:$B$27,2,FALSE),2.7%),IF(A308="Renewal",100%,0%))</f>
        <v>2.7000000000000003E-2</v>
      </c>
      <c r="K308" s="2" t="s">
        <v>22</v>
      </c>
      <c r="L308" s="2">
        <v>376</v>
      </c>
      <c r="M308" s="2" t="s">
        <v>23</v>
      </c>
      <c r="N308" s="2" t="s">
        <v>24</v>
      </c>
      <c r="O308" s="4">
        <v>91654</v>
      </c>
      <c r="P308" s="4">
        <v>2440</v>
      </c>
      <c r="Q308" s="4">
        <v>31162</v>
      </c>
      <c r="R308" s="4">
        <v>122816</v>
      </c>
      <c r="S308" s="5">
        <v>0.4</v>
      </c>
      <c r="T308" s="4">
        <v>49127</v>
      </c>
      <c r="U308" s="4">
        <v>171943</v>
      </c>
      <c r="V308" s="6">
        <f t="shared" si="8"/>
        <v>4642.4610000000002</v>
      </c>
      <c r="W308" s="6">
        <f t="shared" si="9"/>
        <v>167300.53899999999</v>
      </c>
    </row>
    <row r="309" spans="1:23" x14ac:dyDescent="0.3">
      <c r="A309" s="2" t="s">
        <v>21</v>
      </c>
      <c r="B309" s="2">
        <v>10.013999999999999</v>
      </c>
      <c r="C309" s="2">
        <v>2000728242</v>
      </c>
      <c r="D309" s="2">
        <v>71.599999999999994</v>
      </c>
      <c r="E309" s="2"/>
      <c r="F309" s="2">
        <v>900</v>
      </c>
      <c r="G309" s="2">
        <v>1350</v>
      </c>
      <c r="H309" s="2">
        <v>5</v>
      </c>
      <c r="I309" s="2">
        <v>2</v>
      </c>
      <c r="J309" s="3">
        <f>IF(A309="Upgrade",IF(OR(H309=4,H309=5),VLOOKUP(I309,'Renewal Rates'!$A$22:$B$27,2,FALSE),2.7%),IF(A309="Renewal",100%,0%))</f>
        <v>0</v>
      </c>
      <c r="K309" s="7" t="s">
        <v>29</v>
      </c>
      <c r="L309" s="2">
        <v>376</v>
      </c>
      <c r="M309" s="2" t="s">
        <v>23</v>
      </c>
      <c r="N309" s="2" t="s">
        <v>24</v>
      </c>
      <c r="O309" s="8">
        <v>563135</v>
      </c>
      <c r="P309" s="8">
        <v>7863</v>
      </c>
      <c r="Q309" s="8">
        <v>181611</v>
      </c>
      <c r="R309" s="8">
        <v>715760</v>
      </c>
      <c r="S309" s="9">
        <v>0.4</v>
      </c>
      <c r="T309" s="8">
        <v>286304</v>
      </c>
      <c r="U309" s="8">
        <v>1002064</v>
      </c>
      <c r="V309" s="6">
        <f t="shared" si="8"/>
        <v>0</v>
      </c>
      <c r="W309" s="6">
        <f t="shared" si="9"/>
        <v>1002064</v>
      </c>
    </row>
    <row r="310" spans="1:23" x14ac:dyDescent="0.3">
      <c r="A310" s="2" t="s">
        <v>21</v>
      </c>
      <c r="B310" s="2">
        <v>10.013999999999999</v>
      </c>
      <c r="C310" s="2">
        <v>2000430954</v>
      </c>
      <c r="D310" s="2">
        <v>65.400000000000006</v>
      </c>
      <c r="E310" s="2"/>
      <c r="F310" s="2">
        <v>900</v>
      </c>
      <c r="G310" s="2">
        <v>1350</v>
      </c>
      <c r="H310" s="2">
        <v>4</v>
      </c>
      <c r="I310" s="2">
        <v>3</v>
      </c>
      <c r="J310" s="3">
        <f>IF(A310="Upgrade",IF(OR(H310=4,H310=5),VLOOKUP(I310,'Renewal Rates'!$A$22:$B$27,2,FALSE),2.7%),IF(A310="Renewal",100%,0%))</f>
        <v>0.21</v>
      </c>
      <c r="K310" s="7" t="s">
        <v>29</v>
      </c>
      <c r="L310" s="2">
        <v>376</v>
      </c>
      <c r="M310" s="2" t="s">
        <v>23</v>
      </c>
      <c r="N310" s="2" t="s">
        <v>24</v>
      </c>
      <c r="O310" s="8">
        <v>488745</v>
      </c>
      <c r="P310" s="8">
        <v>7469</v>
      </c>
      <c r="Q310" s="8">
        <v>168217</v>
      </c>
      <c r="R310" s="8">
        <v>662973</v>
      </c>
      <c r="S310" s="9">
        <v>0.4</v>
      </c>
      <c r="T310" s="8">
        <v>265189</v>
      </c>
      <c r="U310" s="8">
        <v>928163</v>
      </c>
      <c r="V310" s="6">
        <f t="shared" si="8"/>
        <v>194914.22999999998</v>
      </c>
      <c r="W310" s="6">
        <f t="shared" si="9"/>
        <v>733248.77</v>
      </c>
    </row>
    <row r="311" spans="1:23" x14ac:dyDescent="0.3">
      <c r="A311" s="2" t="s">
        <v>21</v>
      </c>
      <c r="B311" s="2">
        <v>10.013999999999999</v>
      </c>
      <c r="C311" s="2">
        <v>2000063818</v>
      </c>
      <c r="D311" s="2">
        <v>20.5</v>
      </c>
      <c r="E311" s="2"/>
      <c r="F311" s="2">
        <v>900</v>
      </c>
      <c r="G311" s="2">
        <v>1350</v>
      </c>
      <c r="H311" s="2"/>
      <c r="I311" s="2"/>
      <c r="J311" s="3">
        <f>IF(A311="Upgrade",IF(OR(H311=4,H311=5),VLOOKUP(I311,'Renewal Rates'!$A$22:$B$27,2,FALSE),2.7%),IF(A311="Renewal",100%,0%))</f>
        <v>2.7000000000000003E-2</v>
      </c>
      <c r="K311" s="7" t="s">
        <v>29</v>
      </c>
      <c r="L311" s="2">
        <v>376</v>
      </c>
      <c r="M311" s="2" t="s">
        <v>23</v>
      </c>
      <c r="N311" s="2" t="s">
        <v>24</v>
      </c>
      <c r="O311" s="8">
        <v>176612</v>
      </c>
      <c r="P311" s="8">
        <v>8634</v>
      </c>
      <c r="Q311" s="8">
        <v>58370</v>
      </c>
      <c r="R311" s="8">
        <v>230046</v>
      </c>
      <c r="S311" s="9">
        <v>0.4</v>
      </c>
      <c r="T311" s="8">
        <v>92018</v>
      </c>
      <c r="U311" s="8">
        <v>322065</v>
      </c>
      <c r="V311" s="6">
        <f t="shared" si="8"/>
        <v>8695.755000000001</v>
      </c>
      <c r="W311" s="6">
        <f t="shared" si="9"/>
        <v>313369.245</v>
      </c>
    </row>
    <row r="312" spans="1:23" x14ac:dyDescent="0.3">
      <c r="A312" s="2" t="s">
        <v>21</v>
      </c>
      <c r="B312" s="2">
        <v>10.013999999999999</v>
      </c>
      <c r="C312" s="2">
        <v>2000849575</v>
      </c>
      <c r="D312" s="2">
        <v>48.2</v>
      </c>
      <c r="E312" s="2"/>
      <c r="F312" s="2">
        <v>900</v>
      </c>
      <c r="G312" s="2">
        <v>1350</v>
      </c>
      <c r="H312" s="2"/>
      <c r="I312" s="2"/>
      <c r="J312" s="3">
        <f>IF(A312="Upgrade",IF(OR(H312=4,H312=5),VLOOKUP(I312,'Renewal Rates'!$A$22:$B$27,2,FALSE),2.7%),IF(A312="Renewal",100%,0%))</f>
        <v>2.7000000000000003E-2</v>
      </c>
      <c r="K312" s="7" t="s">
        <v>29</v>
      </c>
      <c r="L312" s="2">
        <v>376</v>
      </c>
      <c r="M312" s="2" t="s">
        <v>23</v>
      </c>
      <c r="N312" s="2" t="s">
        <v>24</v>
      </c>
      <c r="O312" s="8">
        <v>347106</v>
      </c>
      <c r="P312" s="8">
        <v>7197</v>
      </c>
      <c r="Q312" s="8">
        <v>122453</v>
      </c>
      <c r="R312" s="8">
        <v>482607</v>
      </c>
      <c r="S312" s="9">
        <v>0.4</v>
      </c>
      <c r="T312" s="8">
        <v>193043</v>
      </c>
      <c r="U312" s="8">
        <v>675650</v>
      </c>
      <c r="V312" s="6">
        <f t="shared" si="8"/>
        <v>18242.550000000003</v>
      </c>
      <c r="W312" s="6">
        <f t="shared" si="9"/>
        <v>657407.44999999995</v>
      </c>
    </row>
    <row r="313" spans="1:23" x14ac:dyDescent="0.3">
      <c r="A313" s="2" t="s">
        <v>21</v>
      </c>
      <c r="B313" s="2">
        <v>10.013</v>
      </c>
      <c r="C313" s="2">
        <v>2000106970</v>
      </c>
      <c r="D313" s="2">
        <v>78.400000000000006</v>
      </c>
      <c r="E313" s="2"/>
      <c r="F313" s="2">
        <v>900</v>
      </c>
      <c r="G313" s="2">
        <v>1125</v>
      </c>
      <c r="H313" s="2">
        <v>5</v>
      </c>
      <c r="I313" s="2">
        <v>2</v>
      </c>
      <c r="J313" s="3">
        <f>IF(A313="Upgrade",IF(OR(H313=4,H313=5),VLOOKUP(I313,'Renewal Rates'!$A$22:$B$27,2,FALSE),2.7%),IF(A313="Renewal",100%,0%))</f>
        <v>0</v>
      </c>
      <c r="K313" s="7" t="s">
        <v>29</v>
      </c>
      <c r="L313" s="2">
        <v>376</v>
      </c>
      <c r="M313" s="2" t="s">
        <v>23</v>
      </c>
      <c r="N313" s="2" t="s">
        <v>24</v>
      </c>
      <c r="O313" s="8">
        <v>436455</v>
      </c>
      <c r="P313" s="8">
        <v>5565</v>
      </c>
      <c r="Q313" s="8">
        <v>186283</v>
      </c>
      <c r="R313" s="8">
        <v>734174</v>
      </c>
      <c r="S313" s="9">
        <v>0.4</v>
      </c>
      <c r="T313" s="8">
        <v>293670</v>
      </c>
      <c r="U313" s="8">
        <v>1027843</v>
      </c>
      <c r="V313" s="6">
        <f t="shared" si="8"/>
        <v>0</v>
      </c>
      <c r="W313" s="6">
        <f t="shared" si="9"/>
        <v>1027843</v>
      </c>
    </row>
    <row r="314" spans="1:23" x14ac:dyDescent="0.3">
      <c r="A314" s="2" t="s">
        <v>21</v>
      </c>
      <c r="B314" s="2">
        <v>10.013</v>
      </c>
      <c r="C314" s="2">
        <v>2000518892</v>
      </c>
      <c r="D314" s="2">
        <v>72.3</v>
      </c>
      <c r="E314" s="2"/>
      <c r="F314" s="2">
        <v>900</v>
      </c>
      <c r="G314" s="2">
        <v>1125</v>
      </c>
      <c r="H314" s="2"/>
      <c r="I314" s="2"/>
      <c r="J314" s="3">
        <f>IF(A314="Upgrade",IF(OR(H314=4,H314=5),VLOOKUP(I314,'Renewal Rates'!$A$22:$B$27,2,FALSE),2.7%),IF(A314="Renewal",100%,0%))</f>
        <v>2.7000000000000003E-2</v>
      </c>
      <c r="K314" s="7" t="s">
        <v>29</v>
      </c>
      <c r="L314" s="2">
        <v>376</v>
      </c>
      <c r="M314" s="2" t="s">
        <v>23</v>
      </c>
      <c r="N314" s="2" t="s">
        <v>24</v>
      </c>
      <c r="O314" s="8">
        <v>425923</v>
      </c>
      <c r="P314" s="8">
        <v>5894</v>
      </c>
      <c r="Q314" s="8">
        <v>173984</v>
      </c>
      <c r="R314" s="8">
        <v>685700</v>
      </c>
      <c r="S314" s="9">
        <v>0.4</v>
      </c>
      <c r="T314" s="8">
        <v>274280</v>
      </c>
      <c r="U314" s="8">
        <v>959980</v>
      </c>
      <c r="V314" s="6">
        <f t="shared" si="8"/>
        <v>25919.460000000003</v>
      </c>
      <c r="W314" s="6">
        <f t="shared" si="9"/>
        <v>934060.54</v>
      </c>
    </row>
    <row r="315" spans="1:23" x14ac:dyDescent="0.3">
      <c r="A315" s="2" t="s">
        <v>21</v>
      </c>
      <c r="B315" s="2">
        <v>10.012</v>
      </c>
      <c r="C315" s="2">
        <v>2000253961</v>
      </c>
      <c r="D315" s="2">
        <v>57.1</v>
      </c>
      <c r="E315" s="2"/>
      <c r="F315" s="2">
        <v>900</v>
      </c>
      <c r="G315" s="2">
        <v>1050</v>
      </c>
      <c r="H315" s="2"/>
      <c r="I315" s="2"/>
      <c r="J315" s="3">
        <f>IF(A315="Upgrade",IF(OR(H315=4,H315=5),VLOOKUP(I315,'Renewal Rates'!$A$22:$B$27,2,FALSE),2.7%),IF(A315="Renewal",100%,0%))</f>
        <v>2.7000000000000003E-2</v>
      </c>
      <c r="K315" s="7" t="s">
        <v>29</v>
      </c>
      <c r="L315" s="2">
        <v>377</v>
      </c>
      <c r="M315" s="2" t="s">
        <v>23</v>
      </c>
      <c r="N315" s="2" t="s">
        <v>24</v>
      </c>
      <c r="O315" s="8">
        <v>297360</v>
      </c>
      <c r="P315" s="8">
        <v>5208</v>
      </c>
      <c r="Q315" s="8">
        <v>136594</v>
      </c>
      <c r="R315" s="8">
        <v>538342</v>
      </c>
      <c r="S315" s="9">
        <v>0.4</v>
      </c>
      <c r="T315" s="8">
        <v>215337</v>
      </c>
      <c r="U315" s="8">
        <v>753679</v>
      </c>
      <c r="V315" s="6">
        <f t="shared" si="8"/>
        <v>20349.333000000002</v>
      </c>
      <c r="W315" s="6">
        <f t="shared" si="9"/>
        <v>733329.66700000002</v>
      </c>
    </row>
    <row r="316" spans="1:23" x14ac:dyDescent="0.3">
      <c r="A316" s="2" t="s">
        <v>21</v>
      </c>
      <c r="B316" s="2">
        <v>10.012</v>
      </c>
      <c r="C316" s="2">
        <v>2000449148</v>
      </c>
      <c r="D316" s="2">
        <v>76.2</v>
      </c>
      <c r="E316" s="2"/>
      <c r="F316" s="2">
        <v>900</v>
      </c>
      <c r="G316" s="2">
        <v>1050</v>
      </c>
      <c r="H316" s="2"/>
      <c r="I316" s="2"/>
      <c r="J316" s="3">
        <f>IF(A316="Upgrade",IF(OR(H316=4,H316=5),VLOOKUP(I316,'Renewal Rates'!$A$22:$B$27,2,FALSE),2.7%),IF(A316="Renewal",100%,0%))</f>
        <v>2.7000000000000003E-2</v>
      </c>
      <c r="K316" s="7" t="s">
        <v>29</v>
      </c>
      <c r="L316" s="2">
        <v>377</v>
      </c>
      <c r="M316" s="2" t="s">
        <v>23</v>
      </c>
      <c r="N316" s="2" t="s">
        <v>24</v>
      </c>
      <c r="O316" s="8">
        <v>365738</v>
      </c>
      <c r="P316" s="8">
        <v>4800</v>
      </c>
      <c r="Q316" s="8">
        <v>172872</v>
      </c>
      <c r="R316" s="8">
        <v>681318</v>
      </c>
      <c r="S316" s="9">
        <v>0.4</v>
      </c>
      <c r="T316" s="8">
        <v>272527</v>
      </c>
      <c r="U316" s="8">
        <v>953845</v>
      </c>
      <c r="V316" s="6">
        <f t="shared" si="8"/>
        <v>25753.815000000002</v>
      </c>
      <c r="W316" s="6">
        <f t="shared" si="9"/>
        <v>928091.18500000006</v>
      </c>
    </row>
    <row r="317" spans="1:23" x14ac:dyDescent="0.3">
      <c r="A317" s="2" t="s">
        <v>21</v>
      </c>
      <c r="B317" s="2">
        <v>10.010999999999999</v>
      </c>
      <c r="C317" s="2">
        <v>2000126267</v>
      </c>
      <c r="D317" s="2">
        <v>78.5</v>
      </c>
      <c r="E317" s="2"/>
      <c r="F317" s="2">
        <v>750</v>
      </c>
      <c r="G317" s="2">
        <v>825</v>
      </c>
      <c r="H317" s="2">
        <v>4</v>
      </c>
      <c r="I317" s="2">
        <v>2</v>
      </c>
      <c r="J317" s="3">
        <f>IF(A317="Upgrade",IF(OR(H317=4,H317=5),VLOOKUP(I317,'Renewal Rates'!$A$22:$B$27,2,FALSE),2.7%),IF(A317="Renewal",100%,0%))</f>
        <v>0</v>
      </c>
      <c r="K317" s="7" t="s">
        <v>29</v>
      </c>
      <c r="L317" s="2">
        <v>377</v>
      </c>
      <c r="M317" s="2" t="s">
        <v>23</v>
      </c>
      <c r="N317" s="2" t="s">
        <v>24</v>
      </c>
      <c r="O317" s="8">
        <v>325402</v>
      </c>
      <c r="P317" s="8">
        <v>4143</v>
      </c>
      <c r="Q317" s="8">
        <v>125030</v>
      </c>
      <c r="R317" s="8">
        <v>492766</v>
      </c>
      <c r="S317" s="9">
        <v>0.4</v>
      </c>
      <c r="T317" s="8">
        <v>197107</v>
      </c>
      <c r="U317" s="8">
        <v>689873</v>
      </c>
      <c r="V317" s="6">
        <f t="shared" si="8"/>
        <v>0</v>
      </c>
      <c r="W317" s="6">
        <f t="shared" si="9"/>
        <v>689873</v>
      </c>
    </row>
    <row r="318" spans="1:23" x14ac:dyDescent="0.3">
      <c r="A318" s="2" t="s">
        <v>21</v>
      </c>
      <c r="B318" s="2">
        <v>10.010999999999999</v>
      </c>
      <c r="C318" s="2">
        <v>2000296973</v>
      </c>
      <c r="D318" s="2">
        <v>76.2</v>
      </c>
      <c r="E318" s="2"/>
      <c r="F318" s="2">
        <v>300</v>
      </c>
      <c r="G318" s="2">
        <v>825</v>
      </c>
      <c r="H318" s="2"/>
      <c r="I318" s="2"/>
      <c r="J318" s="3">
        <f>IF(A318="Upgrade",IF(OR(H318=4,H318=5),VLOOKUP(I318,'Renewal Rates'!$A$22:$B$27,2,FALSE),2.7%),IF(A318="Renewal",100%,0%))</f>
        <v>2.7000000000000003E-2</v>
      </c>
      <c r="K318" s="7" t="s">
        <v>29</v>
      </c>
      <c r="L318" s="2">
        <v>377</v>
      </c>
      <c r="M318" s="2" t="s">
        <v>23</v>
      </c>
      <c r="N318" s="2" t="s">
        <v>24</v>
      </c>
      <c r="O318" s="8">
        <v>326590</v>
      </c>
      <c r="P318" s="8">
        <v>4284</v>
      </c>
      <c r="Q318" s="8">
        <v>125188</v>
      </c>
      <c r="R318" s="8">
        <v>493389</v>
      </c>
      <c r="S318" s="9">
        <v>0.4</v>
      </c>
      <c r="T318" s="8">
        <v>197355</v>
      </c>
      <c r="U318" s="8">
        <v>690744</v>
      </c>
      <c r="V318" s="6">
        <f t="shared" si="8"/>
        <v>18650.088000000003</v>
      </c>
      <c r="W318" s="6">
        <f t="shared" si="9"/>
        <v>672093.91200000001</v>
      </c>
    </row>
    <row r="319" spans="1:23" x14ac:dyDescent="0.3">
      <c r="A319" s="2" t="s">
        <v>21</v>
      </c>
      <c r="B319" s="2">
        <v>10.028</v>
      </c>
      <c r="C319" s="2">
        <v>2000387036</v>
      </c>
      <c r="D319" s="2">
        <v>14.6</v>
      </c>
      <c r="E319" s="2"/>
      <c r="F319" s="2">
        <v>300</v>
      </c>
      <c r="G319" s="2">
        <v>450</v>
      </c>
      <c r="H319" s="2"/>
      <c r="I319" s="2"/>
      <c r="J319" s="3">
        <f>IF(A319="Upgrade",IF(OR(H319=4,H319=5),VLOOKUP(I319,'Renewal Rates'!$A$22:$B$27,2,FALSE),2.7%),IF(A319="Renewal",100%,0%))</f>
        <v>2.7000000000000003E-2</v>
      </c>
      <c r="K319" s="7" t="s">
        <v>29</v>
      </c>
      <c r="L319" s="2">
        <v>377</v>
      </c>
      <c r="M319" s="2" t="s">
        <v>23</v>
      </c>
      <c r="N319" s="2" t="s">
        <v>24</v>
      </c>
      <c r="O319" s="8">
        <v>46644</v>
      </c>
      <c r="P319" s="8">
        <v>3193</v>
      </c>
      <c r="Q319" s="8">
        <v>25242</v>
      </c>
      <c r="R319" s="8">
        <v>99483</v>
      </c>
      <c r="S319" s="9">
        <v>0.4</v>
      </c>
      <c r="T319" s="8">
        <v>39793</v>
      </c>
      <c r="U319" s="8">
        <v>139277</v>
      </c>
      <c r="V319" s="6">
        <f t="shared" si="8"/>
        <v>3760.4790000000003</v>
      </c>
      <c r="W319" s="6">
        <f t="shared" si="9"/>
        <v>135516.52100000001</v>
      </c>
    </row>
    <row r="320" spans="1:23" x14ac:dyDescent="0.3">
      <c r="A320" s="2" t="s">
        <v>25</v>
      </c>
      <c r="B320" s="2">
        <v>10.026</v>
      </c>
      <c r="C320" s="2">
        <v>0</v>
      </c>
      <c r="D320" s="2"/>
      <c r="E320" s="2">
        <v>119.3</v>
      </c>
      <c r="F320" s="2"/>
      <c r="G320" s="2">
        <v>450</v>
      </c>
      <c r="H320" s="2"/>
      <c r="I320" s="2"/>
      <c r="J320" s="3">
        <f>IF(A320="Upgrade",IF(OR(H320=4,H320=5),VLOOKUP(I320,'Renewal Rates'!$A$22:$B$27,2,FALSE),2.7%),IF(A320="Renewal",100%,0%))</f>
        <v>0</v>
      </c>
      <c r="K320" s="7" t="s">
        <v>29</v>
      </c>
      <c r="L320" s="2">
        <v>377</v>
      </c>
      <c r="M320" s="2" t="s">
        <v>23</v>
      </c>
      <c r="N320" s="2" t="s">
        <v>24</v>
      </c>
      <c r="O320" s="8">
        <v>251743</v>
      </c>
      <c r="P320" s="8">
        <v>2111</v>
      </c>
      <c r="Q320" s="8">
        <v>110011</v>
      </c>
      <c r="R320" s="8">
        <v>433574</v>
      </c>
      <c r="S320" s="9">
        <v>0.4</v>
      </c>
      <c r="T320" s="8">
        <v>173429</v>
      </c>
      <c r="U320" s="8">
        <v>607003</v>
      </c>
      <c r="V320" s="6">
        <f t="shared" si="8"/>
        <v>0</v>
      </c>
      <c r="W320" s="6">
        <f t="shared" si="9"/>
        <v>607003</v>
      </c>
    </row>
    <row r="321" spans="1:23" x14ac:dyDescent="0.3">
      <c r="A321" s="2" t="s">
        <v>21</v>
      </c>
      <c r="B321" s="2">
        <v>10.031000000000001</v>
      </c>
      <c r="C321" s="2">
        <v>2000009049</v>
      </c>
      <c r="D321" s="2">
        <v>76.8</v>
      </c>
      <c r="E321" s="2"/>
      <c r="F321" s="2">
        <v>525</v>
      </c>
      <c r="G321" s="2">
        <v>900</v>
      </c>
      <c r="H321" s="2"/>
      <c r="I321" s="2"/>
      <c r="J321" s="3">
        <f>IF(A321="Upgrade",IF(OR(H321=4,H321=5),VLOOKUP(I321,'Renewal Rates'!$A$22:$B$27,2,FALSE),2.7%),IF(A321="Renewal",100%,0%))</f>
        <v>2.7000000000000003E-2</v>
      </c>
      <c r="K321" s="2" t="s">
        <v>30</v>
      </c>
      <c r="L321" s="2">
        <v>376</v>
      </c>
      <c r="M321" s="2" t="s">
        <v>23</v>
      </c>
      <c r="N321" s="2" t="s">
        <v>24</v>
      </c>
      <c r="O321" s="4">
        <v>409384</v>
      </c>
      <c r="P321" s="4">
        <v>5328</v>
      </c>
      <c r="Q321" s="4">
        <v>139190</v>
      </c>
      <c r="R321" s="4">
        <v>548574</v>
      </c>
      <c r="S321" s="5">
        <v>0.4</v>
      </c>
      <c r="T321" s="4">
        <v>219430</v>
      </c>
      <c r="U321" s="4">
        <v>768004</v>
      </c>
      <c r="V321" s="6">
        <f t="shared" si="8"/>
        <v>20736.108000000004</v>
      </c>
      <c r="W321" s="6">
        <f t="shared" si="9"/>
        <v>747267.89199999999</v>
      </c>
    </row>
    <row r="322" spans="1:23" x14ac:dyDescent="0.3">
      <c r="A322" s="2" t="s">
        <v>21</v>
      </c>
      <c r="B322" s="2">
        <v>10.029999999999999</v>
      </c>
      <c r="C322" s="2">
        <v>2000952733</v>
      </c>
      <c r="D322" s="2">
        <v>59.1</v>
      </c>
      <c r="E322" s="2"/>
      <c r="F322" s="2">
        <v>525</v>
      </c>
      <c r="G322" s="2">
        <v>750</v>
      </c>
      <c r="H322" s="2"/>
      <c r="I322" s="2"/>
      <c r="J322" s="3">
        <f>IF(A322="Upgrade",IF(OR(H322=4,H322=5),VLOOKUP(I322,'Renewal Rates'!$A$22:$B$27,2,FALSE),2.7%),IF(A322="Renewal",100%,0%))</f>
        <v>2.7000000000000003E-2</v>
      </c>
      <c r="K322" s="2" t="s">
        <v>30</v>
      </c>
      <c r="L322" s="2">
        <v>376</v>
      </c>
      <c r="M322" s="2" t="s">
        <v>23</v>
      </c>
      <c r="N322" s="2" t="s">
        <v>24</v>
      </c>
      <c r="O322" s="4">
        <v>271005</v>
      </c>
      <c r="P322" s="4">
        <v>4587</v>
      </c>
      <c r="Q322" s="4">
        <v>92142</v>
      </c>
      <c r="R322" s="4">
        <v>363146</v>
      </c>
      <c r="S322" s="5">
        <v>0.4</v>
      </c>
      <c r="T322" s="4">
        <v>145259</v>
      </c>
      <c r="U322" s="4">
        <v>508405</v>
      </c>
      <c r="V322" s="6">
        <f t="shared" si="8"/>
        <v>13726.935000000001</v>
      </c>
      <c r="W322" s="6">
        <f t="shared" si="9"/>
        <v>494678.065</v>
      </c>
    </row>
    <row r="323" spans="1:23" x14ac:dyDescent="0.3">
      <c r="A323" s="2" t="s">
        <v>25</v>
      </c>
      <c r="B323" s="2">
        <v>10.009</v>
      </c>
      <c r="C323" s="2"/>
      <c r="D323" s="2"/>
      <c r="E323" s="2">
        <v>222.9</v>
      </c>
      <c r="F323" s="2"/>
      <c r="G323" s="2">
        <v>525</v>
      </c>
      <c r="H323" s="2"/>
      <c r="I323" s="2"/>
      <c r="J323" s="3">
        <f>IF(A323="Upgrade",IF(OR(H323=4,H323=5),VLOOKUP(I323,'Renewal Rates'!$A$22:$B$27,2,FALSE),2.7%),IF(A323="Renewal",100%,0%))</f>
        <v>0</v>
      </c>
      <c r="K323" s="2" t="s">
        <v>31</v>
      </c>
      <c r="L323" s="2">
        <v>376</v>
      </c>
      <c r="M323" s="2" t="s">
        <v>23</v>
      </c>
      <c r="N323" s="2" t="s">
        <v>24</v>
      </c>
      <c r="O323" s="4">
        <v>644413</v>
      </c>
      <c r="P323" s="4">
        <v>2891</v>
      </c>
      <c r="Q323" s="4">
        <v>219100</v>
      </c>
      <c r="R323" s="4">
        <v>863513</v>
      </c>
      <c r="S323" s="5">
        <v>0.4</v>
      </c>
      <c r="T323" s="4">
        <v>345405</v>
      </c>
      <c r="U323" s="4">
        <v>1208918</v>
      </c>
      <c r="V323" s="6">
        <f t="shared" ref="V323:V386" si="10">J323*U323</f>
        <v>0</v>
      </c>
      <c r="W323" s="6">
        <f t="shared" ref="W323:W386" si="11">U323-V323</f>
        <v>1208918</v>
      </c>
    </row>
    <row r="324" spans="1:23" x14ac:dyDescent="0.3">
      <c r="A324" s="2" t="s">
        <v>21</v>
      </c>
      <c r="B324" s="2">
        <v>10.029</v>
      </c>
      <c r="C324" s="2">
        <v>2000367810</v>
      </c>
      <c r="D324" s="2">
        <v>73.3</v>
      </c>
      <c r="E324" s="2"/>
      <c r="F324" s="2">
        <v>300</v>
      </c>
      <c r="G324" s="2">
        <v>600</v>
      </c>
      <c r="H324" s="2"/>
      <c r="I324" s="2"/>
      <c r="J324" s="3">
        <f>IF(A324="Upgrade",IF(OR(H324=4,H324=5),VLOOKUP(I324,'Renewal Rates'!$A$22:$B$27,2,FALSE),2.7%),IF(A324="Renewal",100%,0%))</f>
        <v>2.7000000000000003E-2</v>
      </c>
      <c r="K324" s="2" t="s">
        <v>30</v>
      </c>
      <c r="L324" s="2">
        <v>376</v>
      </c>
      <c r="M324" s="2" t="s">
        <v>23</v>
      </c>
      <c r="N324" s="2" t="s">
        <v>24</v>
      </c>
      <c r="O324" s="4">
        <v>254326</v>
      </c>
      <c r="P324" s="4">
        <v>3468</v>
      </c>
      <c r="Q324" s="4">
        <v>86471</v>
      </c>
      <c r="R324" s="4">
        <v>340797</v>
      </c>
      <c r="S324" s="5">
        <v>0.4</v>
      </c>
      <c r="T324" s="4">
        <v>136319</v>
      </c>
      <c r="U324" s="4">
        <v>477115</v>
      </c>
      <c r="V324" s="6">
        <f t="shared" si="10"/>
        <v>12882.105000000001</v>
      </c>
      <c r="W324" s="6">
        <f t="shared" si="11"/>
        <v>464232.89500000002</v>
      </c>
    </row>
    <row r="325" spans="1:23" x14ac:dyDescent="0.3">
      <c r="A325" s="2" t="s">
        <v>25</v>
      </c>
      <c r="B325" s="2">
        <v>10.007999999999999</v>
      </c>
      <c r="C325" s="2"/>
      <c r="D325" s="2"/>
      <c r="E325" s="2">
        <v>89.6</v>
      </c>
      <c r="F325" s="2"/>
      <c r="G325" s="2">
        <v>525</v>
      </c>
      <c r="H325" s="2"/>
      <c r="I325" s="2"/>
      <c r="J325" s="3">
        <f>IF(A325="Upgrade",IF(OR(H325=4,H325=5),VLOOKUP(I325,'Renewal Rates'!$A$22:$B$27,2,FALSE),2.7%),IF(A325="Renewal",100%,0%))</f>
        <v>0</v>
      </c>
      <c r="K325" s="2" t="s">
        <v>31</v>
      </c>
      <c r="L325" s="2">
        <v>376</v>
      </c>
      <c r="M325" s="2" t="s">
        <v>23</v>
      </c>
      <c r="N325" s="2" t="s">
        <v>24</v>
      </c>
      <c r="O325" s="4">
        <v>257639</v>
      </c>
      <c r="P325" s="4">
        <v>2876</v>
      </c>
      <c r="Q325" s="4">
        <v>87597</v>
      </c>
      <c r="R325" s="4">
        <v>345237</v>
      </c>
      <c r="S325" s="5">
        <v>0.4</v>
      </c>
      <c r="T325" s="4">
        <v>138095</v>
      </c>
      <c r="U325" s="4">
        <v>483332</v>
      </c>
      <c r="V325" s="6">
        <f t="shared" si="10"/>
        <v>0</v>
      </c>
      <c r="W325" s="6">
        <f t="shared" si="11"/>
        <v>483332</v>
      </c>
    </row>
    <row r="326" spans="1:23" x14ac:dyDescent="0.3">
      <c r="A326" s="2" t="s">
        <v>21</v>
      </c>
      <c r="B326" s="2">
        <v>10.01</v>
      </c>
      <c r="C326" s="2">
        <v>2000531042</v>
      </c>
      <c r="D326" s="2">
        <v>63.2</v>
      </c>
      <c r="E326" s="2"/>
      <c r="F326" s="2">
        <v>525</v>
      </c>
      <c r="G326" s="2">
        <v>900</v>
      </c>
      <c r="H326" s="2"/>
      <c r="I326" s="2"/>
      <c r="J326" s="3">
        <f>IF(A326="Upgrade",IF(OR(H326=4,H326=5),VLOOKUP(I326,'Renewal Rates'!$A$22:$B$27,2,FALSE),2.7%),IF(A326="Renewal",100%,0%))</f>
        <v>2.7000000000000003E-2</v>
      </c>
      <c r="K326" s="2" t="s">
        <v>26</v>
      </c>
      <c r="L326" s="2">
        <v>377</v>
      </c>
      <c r="M326" s="2" t="s">
        <v>23</v>
      </c>
      <c r="N326" s="2" t="s">
        <v>24</v>
      </c>
      <c r="O326" s="4">
        <v>364430</v>
      </c>
      <c r="P326" s="4">
        <v>5764</v>
      </c>
      <c r="Q326" s="4">
        <v>123906</v>
      </c>
      <c r="R326" s="4">
        <v>488336</v>
      </c>
      <c r="S326" s="5">
        <v>0.4</v>
      </c>
      <c r="T326" s="4">
        <v>195335</v>
      </c>
      <c r="U326" s="4">
        <v>683671</v>
      </c>
      <c r="V326" s="6">
        <f t="shared" si="10"/>
        <v>18459.117000000002</v>
      </c>
      <c r="W326" s="6">
        <f t="shared" si="11"/>
        <v>665211.88300000003</v>
      </c>
    </row>
    <row r="327" spans="1:23" x14ac:dyDescent="0.3">
      <c r="A327" s="2" t="s">
        <v>25</v>
      </c>
      <c r="B327" s="2">
        <v>10.006</v>
      </c>
      <c r="C327" s="2"/>
      <c r="D327" s="2"/>
      <c r="E327" s="2">
        <v>139.4</v>
      </c>
      <c r="F327" s="2"/>
      <c r="G327" s="2">
        <v>525</v>
      </c>
      <c r="H327" s="2"/>
      <c r="I327" s="2"/>
      <c r="J327" s="3">
        <f>IF(A327="Upgrade",IF(OR(H327=4,H327=5),VLOOKUP(I327,'Renewal Rates'!$A$22:$B$27,2,FALSE),2.7%),IF(A327="Renewal",100%,0%))</f>
        <v>0</v>
      </c>
      <c r="K327" s="2" t="s">
        <v>30</v>
      </c>
      <c r="L327" s="2">
        <v>377</v>
      </c>
      <c r="M327" s="2" t="s">
        <v>23</v>
      </c>
      <c r="N327" s="2" t="s">
        <v>24</v>
      </c>
      <c r="O327" s="4">
        <v>397760</v>
      </c>
      <c r="P327" s="4">
        <v>2853</v>
      </c>
      <c r="Q327" s="4">
        <v>135238</v>
      </c>
      <c r="R327" s="4">
        <v>532999</v>
      </c>
      <c r="S327" s="5">
        <v>0.4</v>
      </c>
      <c r="T327" s="4">
        <v>213199</v>
      </c>
      <c r="U327" s="4">
        <v>746198</v>
      </c>
      <c r="V327" s="6">
        <f t="shared" si="10"/>
        <v>0</v>
      </c>
      <c r="W327" s="6">
        <f t="shared" si="11"/>
        <v>746198</v>
      </c>
    </row>
    <row r="328" spans="1:23" x14ac:dyDescent="0.3">
      <c r="A328" s="2" t="s">
        <v>21</v>
      </c>
      <c r="B328" s="2">
        <v>10.016999999999999</v>
      </c>
      <c r="C328" s="2">
        <v>2000552604</v>
      </c>
      <c r="D328" s="2">
        <v>33.9</v>
      </c>
      <c r="E328" s="2"/>
      <c r="F328" s="2">
        <v>525</v>
      </c>
      <c r="G328" s="2">
        <v>825</v>
      </c>
      <c r="H328" s="2"/>
      <c r="I328" s="2"/>
      <c r="J328" s="3">
        <f>IF(A328="Upgrade",IF(OR(H328=4,H328=5),VLOOKUP(I328,'Renewal Rates'!$A$22:$B$27,2,FALSE),2.7%),IF(A328="Renewal",100%,0%))</f>
        <v>2.7000000000000003E-2</v>
      </c>
      <c r="K328" s="2" t="s">
        <v>26</v>
      </c>
      <c r="L328" s="2">
        <v>377</v>
      </c>
      <c r="M328" s="2" t="s">
        <v>23</v>
      </c>
      <c r="N328" s="2" t="s">
        <v>24</v>
      </c>
      <c r="O328" s="4">
        <v>159026</v>
      </c>
      <c r="P328" s="4">
        <v>4694</v>
      </c>
      <c r="Q328" s="4">
        <v>54069</v>
      </c>
      <c r="R328" s="4">
        <v>213095</v>
      </c>
      <c r="S328" s="5">
        <v>0.4</v>
      </c>
      <c r="T328" s="4">
        <v>85238</v>
      </c>
      <c r="U328" s="4">
        <v>298333</v>
      </c>
      <c r="V328" s="6">
        <f t="shared" si="10"/>
        <v>8054.9910000000009</v>
      </c>
      <c r="W328" s="6">
        <f t="shared" si="11"/>
        <v>290278.00900000002</v>
      </c>
    </row>
    <row r="329" spans="1:23" x14ac:dyDescent="0.3">
      <c r="A329" s="2" t="s">
        <v>21</v>
      </c>
      <c r="B329" s="2">
        <v>10.02</v>
      </c>
      <c r="C329" s="2">
        <v>2000952333</v>
      </c>
      <c r="D329" s="2">
        <v>30.4</v>
      </c>
      <c r="E329" s="2"/>
      <c r="F329" s="2">
        <v>375</v>
      </c>
      <c r="G329" s="2">
        <v>675</v>
      </c>
      <c r="H329" s="2"/>
      <c r="I329" s="2"/>
      <c r="J329" s="3">
        <f>IF(A329="Upgrade",IF(OR(H329=4,H329=5),VLOOKUP(I329,'Renewal Rates'!$A$22:$B$27,2,FALSE),2.7%),IF(A329="Renewal",100%,0%))</f>
        <v>2.7000000000000003E-2</v>
      </c>
      <c r="K329" s="2" t="s">
        <v>26</v>
      </c>
      <c r="L329" s="2">
        <v>377</v>
      </c>
      <c r="M329" s="2" t="s">
        <v>23</v>
      </c>
      <c r="N329" s="2" t="s">
        <v>24</v>
      </c>
      <c r="O329" s="4">
        <v>125264</v>
      </c>
      <c r="P329" s="4">
        <v>4120</v>
      </c>
      <c r="Q329" s="4">
        <v>42590</v>
      </c>
      <c r="R329" s="4">
        <v>167854</v>
      </c>
      <c r="S329" s="5">
        <v>0.4</v>
      </c>
      <c r="T329" s="4">
        <v>67142</v>
      </c>
      <c r="U329" s="4">
        <v>234996</v>
      </c>
      <c r="V329" s="6">
        <f t="shared" si="10"/>
        <v>6344.8920000000007</v>
      </c>
      <c r="W329" s="6">
        <f t="shared" si="11"/>
        <v>228651.10800000001</v>
      </c>
    </row>
    <row r="330" spans="1:23" x14ac:dyDescent="0.3">
      <c r="A330" s="2" t="s">
        <v>21</v>
      </c>
      <c r="B330" s="2">
        <v>10.02</v>
      </c>
      <c r="C330" s="2">
        <v>2000518317</v>
      </c>
      <c r="D330" s="2">
        <v>81.2</v>
      </c>
      <c r="E330" s="2"/>
      <c r="F330" s="2">
        <v>375</v>
      </c>
      <c r="G330" s="2">
        <v>675</v>
      </c>
      <c r="H330" s="2">
        <v>4</v>
      </c>
      <c r="I330" s="2">
        <v>3</v>
      </c>
      <c r="J330" s="3">
        <f>IF(A330="Upgrade",IF(OR(H330=4,H330=5),VLOOKUP(I330,'Renewal Rates'!$A$22:$B$27,2,FALSE),2.7%),IF(A330="Renewal",100%,0%))</f>
        <v>0.21</v>
      </c>
      <c r="K330" s="2" t="s">
        <v>26</v>
      </c>
      <c r="L330" s="2">
        <v>377</v>
      </c>
      <c r="M330" s="2" t="s">
        <v>23</v>
      </c>
      <c r="N330" s="2" t="s">
        <v>24</v>
      </c>
      <c r="O330" s="4">
        <v>308183</v>
      </c>
      <c r="P330" s="4">
        <v>3796</v>
      </c>
      <c r="Q330" s="4">
        <v>104782</v>
      </c>
      <c r="R330" s="4">
        <v>412965</v>
      </c>
      <c r="S330" s="5">
        <v>0.4</v>
      </c>
      <c r="T330" s="4">
        <v>165186</v>
      </c>
      <c r="U330" s="4">
        <v>578150</v>
      </c>
      <c r="V330" s="6">
        <f t="shared" si="10"/>
        <v>121411.5</v>
      </c>
      <c r="W330" s="6">
        <f t="shared" si="11"/>
        <v>456738.5</v>
      </c>
    </row>
    <row r="331" spans="1:23" x14ac:dyDescent="0.3">
      <c r="A331" s="2" t="s">
        <v>21</v>
      </c>
      <c r="B331" s="2">
        <v>10.019</v>
      </c>
      <c r="C331" s="2">
        <v>2000717733</v>
      </c>
      <c r="D331" s="2">
        <v>90.6</v>
      </c>
      <c r="E331" s="2"/>
      <c r="F331" s="2">
        <v>300</v>
      </c>
      <c r="G331" s="2">
        <v>675</v>
      </c>
      <c r="H331" s="2"/>
      <c r="I331" s="2"/>
      <c r="J331" s="3">
        <f>IF(A331="Upgrade",IF(OR(H331=4,H331=5),VLOOKUP(I331,'Renewal Rates'!$A$22:$B$27,2,FALSE),2.7%),IF(A331="Renewal",100%,0%))</f>
        <v>2.7000000000000003E-2</v>
      </c>
      <c r="K331" s="2" t="s">
        <v>26</v>
      </c>
      <c r="L331" s="2">
        <v>377</v>
      </c>
      <c r="M331" s="2" t="s">
        <v>23</v>
      </c>
      <c r="N331" s="2" t="s">
        <v>24</v>
      </c>
      <c r="O331" s="4">
        <v>338849</v>
      </c>
      <c r="P331" s="4">
        <v>3741</v>
      </c>
      <c r="Q331" s="4">
        <v>115209</v>
      </c>
      <c r="R331" s="4">
        <v>454058</v>
      </c>
      <c r="S331" s="5">
        <v>0.4</v>
      </c>
      <c r="T331" s="4">
        <v>181623</v>
      </c>
      <c r="U331" s="4">
        <v>635681</v>
      </c>
      <c r="V331" s="6">
        <f t="shared" si="10"/>
        <v>17163.387000000002</v>
      </c>
      <c r="W331" s="6">
        <f t="shared" si="11"/>
        <v>618517.61300000001</v>
      </c>
    </row>
    <row r="332" spans="1:23" x14ac:dyDescent="0.3">
      <c r="A332" s="2" t="s">
        <v>21</v>
      </c>
      <c r="B332" s="2">
        <v>10.018000000000001</v>
      </c>
      <c r="C332" s="2">
        <v>2000937313</v>
      </c>
      <c r="D332" s="2">
        <v>91</v>
      </c>
      <c r="E332" s="2"/>
      <c r="F332" s="2">
        <v>225</v>
      </c>
      <c r="G332" s="2">
        <v>600</v>
      </c>
      <c r="H332" s="2"/>
      <c r="I332" s="2"/>
      <c r="J332" s="3">
        <f>IF(A332="Upgrade",IF(OR(H332=4,H332=5),VLOOKUP(I332,'Renewal Rates'!$A$22:$B$27,2,FALSE),2.7%),IF(A332="Renewal",100%,0%))</f>
        <v>2.7000000000000003E-2</v>
      </c>
      <c r="K332" s="2" t="s">
        <v>26</v>
      </c>
      <c r="L332" s="2">
        <v>377</v>
      </c>
      <c r="M332" s="2" t="s">
        <v>23</v>
      </c>
      <c r="N332" s="2" t="s">
        <v>24</v>
      </c>
      <c r="O332" s="4">
        <v>292051</v>
      </c>
      <c r="P332" s="4">
        <v>3209</v>
      </c>
      <c r="Q332" s="4">
        <v>99297</v>
      </c>
      <c r="R332" s="4">
        <v>391348</v>
      </c>
      <c r="S332" s="5">
        <v>0.4</v>
      </c>
      <c r="T332" s="4">
        <v>156539</v>
      </c>
      <c r="U332" s="4">
        <v>547888</v>
      </c>
      <c r="V332" s="6">
        <f t="shared" si="10"/>
        <v>14792.976000000002</v>
      </c>
      <c r="W332" s="6">
        <f t="shared" si="11"/>
        <v>533095.02399999998</v>
      </c>
    </row>
    <row r="333" spans="1:23" x14ac:dyDescent="0.3">
      <c r="A333" s="2" t="s">
        <v>25</v>
      </c>
      <c r="B333" s="2">
        <v>10.005000000000001</v>
      </c>
      <c r="C333" s="2"/>
      <c r="D333" s="2"/>
      <c r="E333" s="2">
        <v>89.4</v>
      </c>
      <c r="F333" s="2"/>
      <c r="G333" s="2">
        <v>525</v>
      </c>
      <c r="H333" s="2"/>
      <c r="I333" s="2"/>
      <c r="J333" s="3">
        <f>IF(A333="Upgrade",IF(OR(H333=4,H333=5),VLOOKUP(I333,'Renewal Rates'!$A$22:$B$27,2,FALSE),2.7%),IF(A333="Renewal",100%,0%))</f>
        <v>0</v>
      </c>
      <c r="K333" s="2" t="s">
        <v>26</v>
      </c>
      <c r="L333" s="2">
        <v>377</v>
      </c>
      <c r="M333" s="2" t="s">
        <v>23</v>
      </c>
      <c r="N333" s="2" t="s">
        <v>24</v>
      </c>
      <c r="O333" s="4">
        <v>257423</v>
      </c>
      <c r="P333" s="4">
        <v>2881</v>
      </c>
      <c r="Q333" s="4">
        <v>87524</v>
      </c>
      <c r="R333" s="4">
        <v>344947</v>
      </c>
      <c r="S333" s="5">
        <v>0.4</v>
      </c>
      <c r="T333" s="4">
        <v>137979</v>
      </c>
      <c r="U333" s="4">
        <v>482926</v>
      </c>
      <c r="V333" s="6">
        <f t="shared" si="10"/>
        <v>0</v>
      </c>
      <c r="W333" s="6">
        <f t="shared" si="11"/>
        <v>482926</v>
      </c>
    </row>
    <row r="334" spans="1:23" x14ac:dyDescent="0.3">
      <c r="A334" s="2" t="s">
        <v>21</v>
      </c>
      <c r="B334" s="2">
        <v>10.016</v>
      </c>
      <c r="C334" s="2">
        <v>2000938325</v>
      </c>
      <c r="D334" s="2">
        <v>77.8</v>
      </c>
      <c r="E334" s="2"/>
      <c r="F334" s="2">
        <v>525</v>
      </c>
      <c r="G334" s="2">
        <v>675</v>
      </c>
      <c r="H334" s="2"/>
      <c r="I334" s="2"/>
      <c r="J334" s="3">
        <f>IF(A334="Upgrade",IF(OR(H334=4,H334=5),VLOOKUP(I334,'Renewal Rates'!$A$22:$B$27,2,FALSE),2.7%),IF(A334="Renewal",100%,0%))</f>
        <v>2.7000000000000003E-2</v>
      </c>
      <c r="K334" s="2" t="s">
        <v>26</v>
      </c>
      <c r="L334" s="2">
        <v>377</v>
      </c>
      <c r="M334" s="2" t="s">
        <v>23</v>
      </c>
      <c r="N334" s="2" t="s">
        <v>24</v>
      </c>
      <c r="O334" s="4">
        <v>304158</v>
      </c>
      <c r="P334" s="4">
        <v>3908</v>
      </c>
      <c r="Q334" s="4">
        <v>103414</v>
      </c>
      <c r="R334" s="4">
        <v>407571</v>
      </c>
      <c r="S334" s="5">
        <v>0.4</v>
      </c>
      <c r="T334" s="4">
        <v>163029</v>
      </c>
      <c r="U334" s="4">
        <v>570600</v>
      </c>
      <c r="V334" s="6">
        <f t="shared" si="10"/>
        <v>15406.200000000003</v>
      </c>
      <c r="W334" s="6">
        <f t="shared" si="11"/>
        <v>555193.80000000005</v>
      </c>
    </row>
    <row r="335" spans="1:23" x14ac:dyDescent="0.3">
      <c r="A335" s="2" t="s">
        <v>21</v>
      </c>
      <c r="B335" s="2">
        <v>10.016</v>
      </c>
      <c r="C335" s="2">
        <v>2000020658</v>
      </c>
      <c r="D335" s="2">
        <v>87.3</v>
      </c>
      <c r="E335" s="2"/>
      <c r="F335" s="2">
        <v>375</v>
      </c>
      <c r="G335" s="2">
        <v>675</v>
      </c>
      <c r="H335" s="2"/>
      <c r="I335" s="2"/>
      <c r="J335" s="3">
        <f>IF(A335="Upgrade",IF(OR(H335=4,H335=5),VLOOKUP(I335,'Renewal Rates'!$A$22:$B$27,2,FALSE),2.7%),IF(A335="Renewal",100%,0%))</f>
        <v>2.7000000000000003E-2</v>
      </c>
      <c r="K335" s="2" t="s">
        <v>26</v>
      </c>
      <c r="L335" s="2">
        <v>377</v>
      </c>
      <c r="M335" s="2" t="s">
        <v>23</v>
      </c>
      <c r="N335" s="2" t="s">
        <v>24</v>
      </c>
      <c r="O335" s="4">
        <v>358324</v>
      </c>
      <c r="P335" s="4">
        <v>4105</v>
      </c>
      <c r="Q335" s="4">
        <v>121830</v>
      </c>
      <c r="R335" s="4">
        <v>480154</v>
      </c>
      <c r="S335" s="5">
        <v>0.4</v>
      </c>
      <c r="T335" s="4">
        <v>192061</v>
      </c>
      <c r="U335" s="4">
        <v>672215</v>
      </c>
      <c r="V335" s="6">
        <f t="shared" si="10"/>
        <v>18149.805000000004</v>
      </c>
      <c r="W335" s="6">
        <f t="shared" si="11"/>
        <v>654065.19499999995</v>
      </c>
    </row>
    <row r="336" spans="1:23" x14ac:dyDescent="0.3">
      <c r="A336" s="2" t="s">
        <v>21</v>
      </c>
      <c r="B336" s="2">
        <v>10.015000000000001</v>
      </c>
      <c r="C336" s="2">
        <v>2000400353</v>
      </c>
      <c r="D336" s="2">
        <v>60.9</v>
      </c>
      <c r="E336" s="2"/>
      <c r="F336" s="2">
        <v>375</v>
      </c>
      <c r="G336" s="2">
        <v>600</v>
      </c>
      <c r="H336" s="2"/>
      <c r="I336" s="2"/>
      <c r="J336" s="3">
        <f>IF(A336="Upgrade",IF(OR(H336=4,H336=5),VLOOKUP(I336,'Renewal Rates'!$A$22:$B$27,2,FALSE),2.7%),IF(A336="Renewal",100%,0%))</f>
        <v>2.7000000000000003E-2</v>
      </c>
      <c r="K336" s="2" t="s">
        <v>26</v>
      </c>
      <c r="L336" s="2">
        <v>377</v>
      </c>
      <c r="M336" s="2" t="s">
        <v>23</v>
      </c>
      <c r="N336" s="2" t="s">
        <v>24</v>
      </c>
      <c r="O336" s="4">
        <v>222026</v>
      </c>
      <c r="P336" s="4">
        <v>3646</v>
      </c>
      <c r="Q336" s="4">
        <v>75489</v>
      </c>
      <c r="R336" s="4">
        <v>297515</v>
      </c>
      <c r="S336" s="5">
        <v>0.4</v>
      </c>
      <c r="T336" s="4">
        <v>119006</v>
      </c>
      <c r="U336" s="4">
        <v>416520</v>
      </c>
      <c r="V336" s="6">
        <f t="shared" si="10"/>
        <v>11246.04</v>
      </c>
      <c r="W336" s="6">
        <f t="shared" si="11"/>
        <v>405273.96</v>
      </c>
    </row>
    <row r="337" spans="1:23" x14ac:dyDescent="0.3">
      <c r="A337" s="2" t="s">
        <v>21</v>
      </c>
      <c r="B337" s="2">
        <v>10.015000000000001</v>
      </c>
      <c r="C337" s="2">
        <v>2000185458</v>
      </c>
      <c r="D337" s="2">
        <v>44.7</v>
      </c>
      <c r="E337" s="2"/>
      <c r="F337" s="2">
        <v>300</v>
      </c>
      <c r="G337" s="2">
        <v>600</v>
      </c>
      <c r="H337" s="2"/>
      <c r="I337" s="2"/>
      <c r="J337" s="3">
        <f>IF(A337="Upgrade",IF(OR(H337=4,H337=5),VLOOKUP(I337,'Renewal Rates'!$A$22:$B$27,2,FALSE),2.7%),IF(A337="Renewal",100%,0%))</f>
        <v>2.7000000000000003E-2</v>
      </c>
      <c r="K337" s="2" t="s">
        <v>26</v>
      </c>
      <c r="L337" s="2">
        <v>377</v>
      </c>
      <c r="M337" s="2" t="s">
        <v>23</v>
      </c>
      <c r="N337" s="2" t="s">
        <v>24</v>
      </c>
      <c r="O337" s="4">
        <v>147950</v>
      </c>
      <c r="P337" s="4">
        <v>3314</v>
      </c>
      <c r="Q337" s="4">
        <v>50303</v>
      </c>
      <c r="R337" s="4">
        <v>198253</v>
      </c>
      <c r="S337" s="5">
        <v>0.4</v>
      </c>
      <c r="T337" s="4">
        <v>79301</v>
      </c>
      <c r="U337" s="4">
        <v>277554</v>
      </c>
      <c r="V337" s="6">
        <f t="shared" si="10"/>
        <v>7493.9580000000005</v>
      </c>
      <c r="W337" s="6">
        <f t="shared" si="11"/>
        <v>270060.04200000002</v>
      </c>
    </row>
    <row r="338" spans="1:23" x14ac:dyDescent="0.3">
      <c r="A338" s="2" t="s">
        <v>21</v>
      </c>
      <c r="B338" s="2">
        <v>10.015000000000001</v>
      </c>
      <c r="C338" s="2">
        <v>2000921512</v>
      </c>
      <c r="D338" s="2">
        <v>2.6</v>
      </c>
      <c r="E338" s="2"/>
      <c r="F338" s="2">
        <v>300</v>
      </c>
      <c r="G338" s="2">
        <v>600</v>
      </c>
      <c r="H338" s="2"/>
      <c r="I338" s="2"/>
      <c r="J338" s="3">
        <f>IF(A338="Upgrade",IF(OR(H338=4,H338=5),VLOOKUP(I338,'Renewal Rates'!$A$22:$B$27,2,FALSE),2.7%),IF(A338="Renewal",100%,0%))</f>
        <v>2.7000000000000003E-2</v>
      </c>
      <c r="K338" s="2" t="s">
        <v>26</v>
      </c>
      <c r="L338" s="2">
        <v>377</v>
      </c>
      <c r="M338" s="2" t="s">
        <v>23</v>
      </c>
      <c r="N338" s="2" t="s">
        <v>24</v>
      </c>
      <c r="O338" s="4">
        <v>46152</v>
      </c>
      <c r="P338" s="4">
        <v>17726</v>
      </c>
      <c r="Q338" s="4">
        <v>15692</v>
      </c>
      <c r="R338" s="4">
        <v>61844</v>
      </c>
      <c r="S338" s="5">
        <v>0.4</v>
      </c>
      <c r="T338" s="4">
        <v>24738</v>
      </c>
      <c r="U338" s="4">
        <v>86581</v>
      </c>
      <c r="V338" s="6">
        <f t="shared" si="10"/>
        <v>2337.6870000000004</v>
      </c>
      <c r="W338" s="6">
        <f t="shared" si="11"/>
        <v>84243.312999999995</v>
      </c>
    </row>
    <row r="339" spans="1:23" x14ac:dyDescent="0.3">
      <c r="A339" s="2" t="s">
        <v>25</v>
      </c>
      <c r="B339" s="2">
        <v>10.000999999999999</v>
      </c>
      <c r="C339" s="2"/>
      <c r="D339" s="2"/>
      <c r="E339" s="2">
        <v>76.599999999999994</v>
      </c>
      <c r="F339" s="2"/>
      <c r="G339" s="2">
        <v>450</v>
      </c>
      <c r="H339" s="2"/>
      <c r="I339" s="2"/>
      <c r="J339" s="3">
        <f>IF(A339="Upgrade",IF(OR(H339=4,H339=5),VLOOKUP(I339,'Renewal Rates'!$A$22:$B$27,2,FALSE),2.7%),IF(A339="Renewal",100%,0%))</f>
        <v>0</v>
      </c>
      <c r="K339" s="2" t="s">
        <v>26</v>
      </c>
      <c r="L339" s="2">
        <v>377</v>
      </c>
      <c r="M339" s="2" t="s">
        <v>23</v>
      </c>
      <c r="N339" s="2" t="s">
        <v>24</v>
      </c>
      <c r="O339" s="4">
        <v>215531</v>
      </c>
      <c r="P339" s="4">
        <v>2813</v>
      </c>
      <c r="Q339" s="4">
        <v>73281</v>
      </c>
      <c r="R339" s="4">
        <v>288812</v>
      </c>
      <c r="S339" s="5">
        <v>0.4</v>
      </c>
      <c r="T339" s="4">
        <v>115525</v>
      </c>
      <c r="U339" s="4">
        <v>404337</v>
      </c>
      <c r="V339" s="6">
        <f t="shared" si="10"/>
        <v>0</v>
      </c>
      <c r="W339" s="6">
        <f t="shared" si="11"/>
        <v>404337</v>
      </c>
    </row>
    <row r="340" spans="1:23" x14ac:dyDescent="0.3">
      <c r="A340" s="2" t="s">
        <v>21</v>
      </c>
      <c r="B340" s="2">
        <v>10.022</v>
      </c>
      <c r="C340" s="2">
        <v>2000189333</v>
      </c>
      <c r="D340" s="2">
        <v>50.2</v>
      </c>
      <c r="E340" s="2"/>
      <c r="F340" s="2">
        <v>600</v>
      </c>
      <c r="G340" s="2">
        <v>750</v>
      </c>
      <c r="H340" s="2">
        <v>4</v>
      </c>
      <c r="I340" s="2">
        <v>3</v>
      </c>
      <c r="J340" s="3">
        <f>IF(A340="Upgrade",IF(OR(H340=4,H340=5),VLOOKUP(I340,'Renewal Rates'!$A$22:$B$27,2,FALSE),2.7%),IF(A340="Renewal",100%,0%))</f>
        <v>0.21</v>
      </c>
      <c r="K340" s="7" t="s">
        <v>32</v>
      </c>
      <c r="L340" s="2">
        <v>377</v>
      </c>
      <c r="M340" s="2" t="s">
        <v>23</v>
      </c>
      <c r="N340" s="2" t="s">
        <v>24</v>
      </c>
      <c r="O340" s="4">
        <v>192157</v>
      </c>
      <c r="P340" s="4">
        <v>3824</v>
      </c>
      <c r="Q340" s="4">
        <v>81446</v>
      </c>
      <c r="R340" s="4">
        <v>320991</v>
      </c>
      <c r="S340" s="5">
        <v>0.4</v>
      </c>
      <c r="T340" s="4">
        <v>128397</v>
      </c>
      <c r="U340" s="4">
        <v>449388</v>
      </c>
      <c r="V340" s="6">
        <f t="shared" si="10"/>
        <v>94371.48</v>
      </c>
      <c r="W340" s="6">
        <f t="shared" si="11"/>
        <v>355016.52</v>
      </c>
    </row>
    <row r="341" spans="1:23" x14ac:dyDescent="0.3">
      <c r="A341" s="2" t="s">
        <v>21</v>
      </c>
      <c r="B341" s="2">
        <v>10.022</v>
      </c>
      <c r="C341" s="2">
        <v>2000154465</v>
      </c>
      <c r="D341" s="2">
        <v>49.3</v>
      </c>
      <c r="E341" s="2"/>
      <c r="F341" s="2">
        <v>600</v>
      </c>
      <c r="G341" s="2">
        <v>750</v>
      </c>
      <c r="H341" s="2"/>
      <c r="I341" s="2"/>
      <c r="J341" s="3">
        <f>IF(A341="Upgrade",IF(OR(H341=4,H341=5),VLOOKUP(I341,'Renewal Rates'!$A$22:$B$27,2,FALSE),2.7%),IF(A341="Renewal",100%,0%))</f>
        <v>2.7000000000000003E-2</v>
      </c>
      <c r="K341" s="7" t="s">
        <v>32</v>
      </c>
      <c r="L341" s="2">
        <v>377</v>
      </c>
      <c r="M341" s="2" t="s">
        <v>23</v>
      </c>
      <c r="N341" s="2" t="s">
        <v>24</v>
      </c>
      <c r="O341" s="4">
        <v>172814</v>
      </c>
      <c r="P341" s="4">
        <v>3502</v>
      </c>
      <c r="Q341" s="4">
        <v>72703</v>
      </c>
      <c r="R341" s="4">
        <v>286537</v>
      </c>
      <c r="S341" s="5">
        <v>0.4</v>
      </c>
      <c r="T341" s="4">
        <v>114615</v>
      </c>
      <c r="U341" s="4">
        <v>401151</v>
      </c>
      <c r="V341" s="6">
        <f t="shared" si="10"/>
        <v>10831.077000000001</v>
      </c>
      <c r="W341" s="6">
        <f t="shared" si="11"/>
        <v>390319.92300000001</v>
      </c>
    </row>
    <row r="342" spans="1:23" x14ac:dyDescent="0.3">
      <c r="A342" s="2" t="s">
        <v>21</v>
      </c>
      <c r="B342" s="2">
        <v>10.023</v>
      </c>
      <c r="C342" s="2">
        <v>2000386593</v>
      </c>
      <c r="D342" s="2">
        <v>55.2</v>
      </c>
      <c r="E342" s="2"/>
      <c r="F342" s="2">
        <v>225</v>
      </c>
      <c r="G342" s="2">
        <v>750</v>
      </c>
      <c r="H342" s="2"/>
      <c r="I342" s="2"/>
      <c r="J342" s="3">
        <f>IF(A342="Upgrade",IF(OR(H342=4,H342=5),VLOOKUP(I342,'Renewal Rates'!$A$22:$B$27,2,FALSE),2.7%),IF(A342="Renewal",100%,0%))</f>
        <v>2.7000000000000003E-2</v>
      </c>
      <c r="K342" s="7" t="s">
        <v>32</v>
      </c>
      <c r="L342" s="2">
        <v>377</v>
      </c>
      <c r="M342" s="2" t="s">
        <v>23</v>
      </c>
      <c r="N342" s="2" t="s">
        <v>24</v>
      </c>
      <c r="O342" s="4">
        <v>216735</v>
      </c>
      <c r="P342" s="4">
        <v>3929</v>
      </c>
      <c r="Q342" s="4">
        <v>83718</v>
      </c>
      <c r="R342" s="4">
        <v>329948</v>
      </c>
      <c r="S342" s="5">
        <v>0.4</v>
      </c>
      <c r="T342" s="4">
        <v>131979</v>
      </c>
      <c r="U342" s="4">
        <v>461927</v>
      </c>
      <c r="V342" s="6">
        <f t="shared" si="10"/>
        <v>12472.029000000002</v>
      </c>
      <c r="W342" s="6">
        <f t="shared" si="11"/>
        <v>449454.97100000002</v>
      </c>
    </row>
    <row r="343" spans="1:23" x14ac:dyDescent="0.3">
      <c r="A343" s="2" t="s">
        <v>25</v>
      </c>
      <c r="B343" s="2">
        <v>10.025</v>
      </c>
      <c r="C343" s="2">
        <v>0</v>
      </c>
      <c r="D343" s="2"/>
      <c r="E343" s="2">
        <v>99.4</v>
      </c>
      <c r="F343" s="2"/>
      <c r="G343" s="2">
        <v>600</v>
      </c>
      <c r="H343" s="2"/>
      <c r="I343" s="2"/>
      <c r="J343" s="3">
        <f>IF(A343="Upgrade",IF(OR(H343=4,H343=5),VLOOKUP(I343,'Renewal Rates'!$A$22:$B$27,2,FALSE),2.7%),IF(A343="Renewal",100%,0%))</f>
        <v>0</v>
      </c>
      <c r="K343" s="7" t="s">
        <v>32</v>
      </c>
      <c r="L343" s="2">
        <v>377</v>
      </c>
      <c r="M343" s="2" t="s">
        <v>23</v>
      </c>
      <c r="N343" s="2" t="s">
        <v>24</v>
      </c>
      <c r="O343" s="4">
        <v>271646</v>
      </c>
      <c r="P343" s="4">
        <v>2733</v>
      </c>
      <c r="Q343" s="4">
        <v>108859</v>
      </c>
      <c r="R343" s="4">
        <v>429034</v>
      </c>
      <c r="S343" s="5">
        <v>0.4</v>
      </c>
      <c r="T343" s="4">
        <v>171614</v>
      </c>
      <c r="U343" s="4">
        <v>600648</v>
      </c>
      <c r="V343" s="6">
        <f t="shared" si="10"/>
        <v>0</v>
      </c>
      <c r="W343" s="6">
        <f t="shared" si="11"/>
        <v>600648</v>
      </c>
    </row>
    <row r="344" spans="1:23" x14ac:dyDescent="0.3">
      <c r="A344" s="2" t="s">
        <v>25</v>
      </c>
      <c r="B344" s="2">
        <v>10.023999999999999</v>
      </c>
      <c r="C344" s="2">
        <v>0</v>
      </c>
      <c r="D344" s="2"/>
      <c r="E344" s="2">
        <v>117</v>
      </c>
      <c r="F344" s="2"/>
      <c r="G344" s="2">
        <v>600</v>
      </c>
      <c r="H344" s="2"/>
      <c r="I344" s="2"/>
      <c r="J344" s="3">
        <f>IF(A344="Upgrade",IF(OR(H344=4,H344=5),VLOOKUP(I344,'Renewal Rates'!$A$22:$B$27,2,FALSE),2.7%),IF(A344="Renewal",100%,0%))</f>
        <v>0</v>
      </c>
      <c r="K344" s="7" t="s">
        <v>32</v>
      </c>
      <c r="L344" s="2">
        <v>377</v>
      </c>
      <c r="M344" s="2" t="s">
        <v>23</v>
      </c>
      <c r="N344" s="2" t="s">
        <v>24</v>
      </c>
      <c r="O344" s="4">
        <v>339499</v>
      </c>
      <c r="P344" s="4">
        <v>2902</v>
      </c>
      <c r="Q344" s="4">
        <v>140081</v>
      </c>
      <c r="R344" s="4">
        <v>552084</v>
      </c>
      <c r="S344" s="5">
        <v>0.4</v>
      </c>
      <c r="T344" s="4">
        <v>220834</v>
      </c>
      <c r="U344" s="4">
        <v>772918</v>
      </c>
      <c r="V344" s="6">
        <f t="shared" si="10"/>
        <v>0</v>
      </c>
      <c r="W344" s="6">
        <f t="shared" si="11"/>
        <v>772918</v>
      </c>
    </row>
    <row r="345" spans="1:23" x14ac:dyDescent="0.3">
      <c r="A345" s="2" t="s">
        <v>21</v>
      </c>
      <c r="B345" s="2">
        <v>10.026999999999999</v>
      </c>
      <c r="C345" s="2">
        <v>2000128251</v>
      </c>
      <c r="D345" s="2">
        <v>56.9</v>
      </c>
      <c r="E345" s="2"/>
      <c r="F345" s="2">
        <v>225</v>
      </c>
      <c r="G345" s="2">
        <v>300</v>
      </c>
      <c r="H345" s="2"/>
      <c r="I345" s="2"/>
      <c r="J345" s="3">
        <f>IF(A345="Upgrade",IF(OR(H345=4,H345=5),VLOOKUP(I345,'Renewal Rates'!$A$22:$B$27,2,FALSE),2.7%),IF(A345="Renewal",100%,0%))</f>
        <v>2.7000000000000003E-2</v>
      </c>
      <c r="K345" s="2" t="s">
        <v>33</v>
      </c>
      <c r="L345" s="2">
        <v>377</v>
      </c>
      <c r="M345" s="2" t="s">
        <v>23</v>
      </c>
      <c r="N345" s="2" t="s">
        <v>24</v>
      </c>
      <c r="O345" s="4">
        <v>127178</v>
      </c>
      <c r="P345" s="4">
        <v>2234</v>
      </c>
      <c r="Q345" s="4">
        <v>43240</v>
      </c>
      <c r="R345" s="4">
        <v>170418</v>
      </c>
      <c r="S345" s="5">
        <v>0.4</v>
      </c>
      <c r="T345" s="4">
        <v>68167</v>
      </c>
      <c r="U345" s="4">
        <v>238585</v>
      </c>
      <c r="V345" s="6">
        <f t="shared" si="10"/>
        <v>6441.795000000001</v>
      </c>
      <c r="W345" s="6">
        <f t="shared" si="11"/>
        <v>232143.20499999999</v>
      </c>
    </row>
    <row r="346" spans="1:23" x14ac:dyDescent="0.3">
      <c r="A346" s="2" t="s">
        <v>25</v>
      </c>
      <c r="B346" s="2">
        <v>10.007</v>
      </c>
      <c r="C346" s="2"/>
      <c r="D346" s="2"/>
      <c r="E346" s="2">
        <v>115</v>
      </c>
      <c r="F346" s="2"/>
      <c r="G346" s="2">
        <v>450</v>
      </c>
      <c r="H346" s="2"/>
      <c r="I346" s="2"/>
      <c r="J346" s="3">
        <f>IF(A346="Upgrade",IF(OR(H346=4,H346=5),VLOOKUP(I346,'Renewal Rates'!$A$22:$B$27,2,FALSE),2.7%),IF(A346="Renewal",100%,0%))</f>
        <v>0</v>
      </c>
      <c r="K346" s="2" t="s">
        <v>22</v>
      </c>
      <c r="L346" s="2">
        <v>377</v>
      </c>
      <c r="M346" s="2" t="s">
        <v>23</v>
      </c>
      <c r="N346" s="2" t="s">
        <v>24</v>
      </c>
      <c r="O346" s="4">
        <v>317492</v>
      </c>
      <c r="P346" s="4">
        <v>2760</v>
      </c>
      <c r="Q346" s="4">
        <v>107947</v>
      </c>
      <c r="R346" s="4">
        <v>425439</v>
      </c>
      <c r="S346" s="5">
        <v>0.4</v>
      </c>
      <c r="T346" s="4">
        <v>170176</v>
      </c>
      <c r="U346" s="4">
        <v>595614</v>
      </c>
      <c r="V346" s="6">
        <f t="shared" si="10"/>
        <v>0</v>
      </c>
      <c r="W346" s="6">
        <f t="shared" si="11"/>
        <v>595614</v>
      </c>
    </row>
    <row r="347" spans="1:23" x14ac:dyDescent="0.3">
      <c r="A347" s="2" t="s">
        <v>25</v>
      </c>
      <c r="B347" s="2">
        <v>11.004</v>
      </c>
      <c r="C347" s="2"/>
      <c r="D347" s="2"/>
      <c r="E347" s="2">
        <v>61.9</v>
      </c>
      <c r="F347" s="2"/>
      <c r="G347" s="2">
        <v>450</v>
      </c>
      <c r="H347" s="2"/>
      <c r="I347" s="2"/>
      <c r="J347" s="3">
        <f>IF(A347="Upgrade",IF(OR(H347=4,H347=5),VLOOKUP(I347,'Renewal Rates'!$A$22:$B$27,2,FALSE),2.7%),IF(A347="Renewal",100%,0%))</f>
        <v>0</v>
      </c>
      <c r="K347" s="2" t="s">
        <v>34</v>
      </c>
      <c r="L347" s="2">
        <v>377</v>
      </c>
      <c r="M347" s="2" t="s">
        <v>23</v>
      </c>
      <c r="N347" s="2" t="s">
        <v>24</v>
      </c>
      <c r="O347" s="4">
        <v>201960</v>
      </c>
      <c r="P347" s="4">
        <v>3264</v>
      </c>
      <c r="Q347" s="4">
        <v>68666</v>
      </c>
      <c r="R347" s="4">
        <v>270626</v>
      </c>
      <c r="S347" s="5">
        <v>0.4</v>
      </c>
      <c r="T347" s="4">
        <v>108251</v>
      </c>
      <c r="U347" s="4">
        <v>378877</v>
      </c>
      <c r="V347" s="6">
        <f t="shared" si="10"/>
        <v>0</v>
      </c>
      <c r="W347" s="6">
        <f t="shared" si="11"/>
        <v>378877</v>
      </c>
    </row>
    <row r="348" spans="1:23" x14ac:dyDescent="0.3">
      <c r="A348" s="2" t="s">
        <v>25</v>
      </c>
      <c r="B348" s="2">
        <v>11.005000000000001</v>
      </c>
      <c r="C348" s="2"/>
      <c r="D348" s="2"/>
      <c r="E348" s="2">
        <v>120.7</v>
      </c>
      <c r="F348" s="2"/>
      <c r="G348" s="2">
        <v>525</v>
      </c>
      <c r="H348" s="2"/>
      <c r="I348" s="2"/>
      <c r="J348" s="3">
        <f>IF(A348="Upgrade",IF(OR(H348=4,H348=5),VLOOKUP(I348,'Renewal Rates'!$A$22:$B$27,2,FALSE),2.7%),IF(A348="Renewal",100%,0%))</f>
        <v>0</v>
      </c>
      <c r="K348" s="2" t="s">
        <v>35</v>
      </c>
      <c r="L348" s="2">
        <v>385</v>
      </c>
      <c r="M348" s="2" t="s">
        <v>23</v>
      </c>
      <c r="N348" s="2" t="s">
        <v>24</v>
      </c>
      <c r="O348" s="4">
        <v>378316</v>
      </c>
      <c r="P348" s="4">
        <v>3136</v>
      </c>
      <c r="Q348" s="4">
        <v>128627</v>
      </c>
      <c r="R348" s="4">
        <v>506943</v>
      </c>
      <c r="S348" s="5">
        <v>0.4</v>
      </c>
      <c r="T348" s="4">
        <v>202777</v>
      </c>
      <c r="U348" s="4">
        <v>709720</v>
      </c>
      <c r="V348" s="6">
        <f t="shared" si="10"/>
        <v>0</v>
      </c>
      <c r="W348" s="6">
        <f t="shared" si="11"/>
        <v>709720</v>
      </c>
    </row>
    <row r="349" spans="1:23" x14ac:dyDescent="0.3">
      <c r="A349" s="2" t="s">
        <v>21</v>
      </c>
      <c r="B349" s="2" t="s">
        <v>36</v>
      </c>
      <c r="C349" s="2">
        <v>2000496544</v>
      </c>
      <c r="D349" s="2">
        <v>80.099999999999994</v>
      </c>
      <c r="E349" s="2"/>
      <c r="F349" s="2">
        <v>900</v>
      </c>
      <c r="G349" s="2">
        <v>1800</v>
      </c>
      <c r="H349" s="2">
        <v>4</v>
      </c>
      <c r="I349" s="2">
        <v>2</v>
      </c>
      <c r="J349" s="3">
        <f>IF(A349="Upgrade",IF(OR(H349=4,H349=5),VLOOKUP(I349,'Renewal Rates'!$A$22:$B$27,2,FALSE),2.7%),IF(A349="Renewal",100%,0%))</f>
        <v>0</v>
      </c>
      <c r="K349" s="2" t="s">
        <v>35</v>
      </c>
      <c r="L349" s="2">
        <v>385</v>
      </c>
      <c r="M349" s="2" t="s">
        <v>23</v>
      </c>
      <c r="N349" s="2" t="s">
        <v>24</v>
      </c>
      <c r="O349" s="4">
        <v>839504</v>
      </c>
      <c r="P349" s="4">
        <v>10486</v>
      </c>
      <c r="Q349" s="4">
        <v>285431</v>
      </c>
      <c r="R349" s="4">
        <v>1124935</v>
      </c>
      <c r="S349" s="5">
        <v>0.4</v>
      </c>
      <c r="T349" s="4">
        <v>449974</v>
      </c>
      <c r="U349" s="4">
        <v>1574909</v>
      </c>
      <c r="V349" s="6">
        <f t="shared" si="10"/>
        <v>0</v>
      </c>
      <c r="W349" s="6">
        <f t="shared" si="11"/>
        <v>1574909</v>
      </c>
    </row>
    <row r="350" spans="1:23" x14ac:dyDescent="0.3">
      <c r="A350" s="2" t="s">
        <v>21</v>
      </c>
      <c r="B350" s="2" t="s">
        <v>36</v>
      </c>
      <c r="C350" s="2">
        <v>2000650272</v>
      </c>
      <c r="D350" s="2">
        <v>12.6</v>
      </c>
      <c r="E350" s="2"/>
      <c r="F350" s="2">
        <v>1350</v>
      </c>
      <c r="G350" s="2">
        <v>1800</v>
      </c>
      <c r="H350" s="2"/>
      <c r="I350" s="2"/>
      <c r="J350" s="3">
        <f>IF(A350="Upgrade",IF(OR(H350=4,H350=5),VLOOKUP(I350,'Renewal Rates'!$A$22:$B$27,2,FALSE),2.7%),IF(A350="Renewal",100%,0%))</f>
        <v>2.7000000000000003E-2</v>
      </c>
      <c r="K350" s="2" t="s">
        <v>35</v>
      </c>
      <c r="L350" s="2">
        <v>385</v>
      </c>
      <c r="M350" s="2" t="s">
        <v>23</v>
      </c>
      <c r="N350" s="2" t="s">
        <v>24</v>
      </c>
      <c r="O350" s="4">
        <v>138133</v>
      </c>
      <c r="P350" s="4">
        <v>10975</v>
      </c>
      <c r="Q350" s="4">
        <v>46965</v>
      </c>
      <c r="R350" s="4">
        <v>185098</v>
      </c>
      <c r="S350" s="5">
        <v>0.4</v>
      </c>
      <c r="T350" s="4">
        <v>74039</v>
      </c>
      <c r="U350" s="4">
        <v>259137</v>
      </c>
      <c r="V350" s="6">
        <f t="shared" si="10"/>
        <v>6996.6990000000005</v>
      </c>
      <c r="W350" s="6">
        <f t="shared" si="11"/>
        <v>252140.30100000001</v>
      </c>
    </row>
    <row r="351" spans="1:23" x14ac:dyDescent="0.3">
      <c r="A351" s="2" t="s">
        <v>21</v>
      </c>
      <c r="B351" s="2">
        <v>11.026999999999999</v>
      </c>
      <c r="C351" s="2">
        <v>2000496544</v>
      </c>
      <c r="D351" s="2">
        <v>80.099999999999994</v>
      </c>
      <c r="E351" s="2"/>
      <c r="F351" s="2">
        <v>900</v>
      </c>
      <c r="G351" s="2">
        <v>1650</v>
      </c>
      <c r="H351" s="2">
        <v>4</v>
      </c>
      <c r="I351" s="2">
        <v>2</v>
      </c>
      <c r="J351" s="3">
        <f>IF(A351="Upgrade",IF(OR(H351=4,H351=5),VLOOKUP(I351,'Renewal Rates'!$A$22:$B$27,2,FALSE),2.7%),IF(A351="Renewal",100%,0%))</f>
        <v>0</v>
      </c>
      <c r="K351" s="2" t="s">
        <v>35</v>
      </c>
      <c r="L351" s="2">
        <v>385</v>
      </c>
      <c r="M351" s="2" t="s">
        <v>23</v>
      </c>
      <c r="N351" s="2" t="s">
        <v>24</v>
      </c>
      <c r="O351" s="4">
        <v>744999</v>
      </c>
      <c r="P351" s="4">
        <v>9305</v>
      </c>
      <c r="Q351" s="4">
        <v>253300</v>
      </c>
      <c r="R351" s="4">
        <v>998298</v>
      </c>
      <c r="S351" s="5">
        <v>0.4</v>
      </c>
      <c r="T351" s="4">
        <v>399319</v>
      </c>
      <c r="U351" s="4">
        <v>1397617</v>
      </c>
      <c r="V351" s="6">
        <f t="shared" si="10"/>
        <v>0</v>
      </c>
      <c r="W351" s="6">
        <f t="shared" si="11"/>
        <v>1397617</v>
      </c>
    </row>
    <row r="352" spans="1:23" x14ac:dyDescent="0.3">
      <c r="A352" s="2" t="s">
        <v>21</v>
      </c>
      <c r="B352" s="2">
        <v>11.026999999999999</v>
      </c>
      <c r="C352" s="2">
        <v>2000066206</v>
      </c>
      <c r="D352" s="2">
        <v>6</v>
      </c>
      <c r="E352" s="2"/>
      <c r="F352" s="2">
        <v>900</v>
      </c>
      <c r="G352" s="2">
        <v>1650</v>
      </c>
      <c r="H352" s="2"/>
      <c r="I352" s="2"/>
      <c r="J352" s="3">
        <f>IF(A352="Upgrade",IF(OR(H352=4,H352=5),VLOOKUP(I352,'Renewal Rates'!$A$22:$B$27,2,FALSE),2.7%),IF(A352="Renewal",100%,0%))</f>
        <v>2.7000000000000003E-2</v>
      </c>
      <c r="K352" s="2" t="s">
        <v>35</v>
      </c>
      <c r="L352" s="2">
        <v>385</v>
      </c>
      <c r="M352" s="2" t="s">
        <v>23</v>
      </c>
      <c r="N352" s="2" t="s">
        <v>24</v>
      </c>
      <c r="O352" s="4">
        <v>66781</v>
      </c>
      <c r="P352" s="4">
        <v>11178</v>
      </c>
      <c r="Q352" s="4">
        <v>22705</v>
      </c>
      <c r="R352" s="4">
        <v>89486</v>
      </c>
      <c r="S352" s="5">
        <v>0.4</v>
      </c>
      <c r="T352" s="4">
        <v>35794</v>
      </c>
      <c r="U352" s="4">
        <v>125280</v>
      </c>
      <c r="V352" s="6">
        <f t="shared" si="10"/>
        <v>3382.5600000000004</v>
      </c>
      <c r="W352" s="6">
        <f t="shared" si="11"/>
        <v>121897.44</v>
      </c>
    </row>
    <row r="353" spans="1:23" x14ac:dyDescent="0.3">
      <c r="A353" s="2" t="s">
        <v>21</v>
      </c>
      <c r="B353" s="2">
        <v>11.026999999999999</v>
      </c>
      <c r="C353" s="2">
        <v>3000099268</v>
      </c>
      <c r="D353" s="2">
        <v>70</v>
      </c>
      <c r="E353" s="2"/>
      <c r="F353" s="2">
        <v>900</v>
      </c>
      <c r="G353" s="2">
        <v>1650</v>
      </c>
      <c r="H353" s="2">
        <v>4</v>
      </c>
      <c r="I353" s="2">
        <v>4</v>
      </c>
      <c r="J353" s="3">
        <f>IF(A353="Upgrade",IF(OR(H353=4,H353=5),VLOOKUP(I353,'Renewal Rates'!$A$22:$B$27,2,FALSE),2.7%),IF(A353="Renewal",100%,0%))</f>
        <v>0.7</v>
      </c>
      <c r="K353" s="2" t="s">
        <v>35</v>
      </c>
      <c r="L353" s="2">
        <v>385</v>
      </c>
      <c r="M353" s="2" t="s">
        <v>23</v>
      </c>
      <c r="N353" s="2" t="s">
        <v>24</v>
      </c>
      <c r="O353" s="4">
        <v>642608</v>
      </c>
      <c r="P353" s="4">
        <v>9186</v>
      </c>
      <c r="Q353" s="4">
        <v>218487</v>
      </c>
      <c r="R353" s="4">
        <v>861095</v>
      </c>
      <c r="S353" s="5">
        <v>0.4</v>
      </c>
      <c r="T353" s="4">
        <v>344438</v>
      </c>
      <c r="U353" s="4">
        <v>1205533</v>
      </c>
      <c r="V353" s="6">
        <f t="shared" si="10"/>
        <v>843873.1</v>
      </c>
      <c r="W353" s="6">
        <f t="shared" si="11"/>
        <v>361659.9</v>
      </c>
    </row>
    <row r="354" spans="1:23" x14ac:dyDescent="0.3">
      <c r="A354" s="2" t="s">
        <v>21</v>
      </c>
      <c r="B354" s="2">
        <v>11.026999999999999</v>
      </c>
      <c r="C354" s="2">
        <v>2000540878</v>
      </c>
      <c r="D354" s="2">
        <v>83.3</v>
      </c>
      <c r="E354" s="2"/>
      <c r="F354" s="2">
        <v>900</v>
      </c>
      <c r="G354" s="2">
        <v>1650</v>
      </c>
      <c r="H354" s="2"/>
      <c r="I354" s="2"/>
      <c r="J354" s="3">
        <f>IF(A354="Upgrade",IF(OR(H354=4,H354=5),VLOOKUP(I354,'Renewal Rates'!$A$22:$B$27,2,FALSE),2.7%),IF(A354="Renewal",100%,0%))</f>
        <v>2.7000000000000003E-2</v>
      </c>
      <c r="K354" s="2" t="s">
        <v>35</v>
      </c>
      <c r="L354" s="2">
        <v>385</v>
      </c>
      <c r="M354" s="2" t="s">
        <v>23</v>
      </c>
      <c r="N354" s="2" t="s">
        <v>24</v>
      </c>
      <c r="O354" s="4">
        <v>778611</v>
      </c>
      <c r="P354" s="4">
        <v>9350</v>
      </c>
      <c r="Q354" s="4">
        <v>264728</v>
      </c>
      <c r="R354" s="4">
        <v>1043339</v>
      </c>
      <c r="S354" s="5">
        <v>0.4</v>
      </c>
      <c r="T354" s="4">
        <v>417336</v>
      </c>
      <c r="U354" s="4">
        <v>1460674</v>
      </c>
      <c r="V354" s="6">
        <f t="shared" si="10"/>
        <v>39438.198000000004</v>
      </c>
      <c r="W354" s="6">
        <f t="shared" si="11"/>
        <v>1421235.8019999999</v>
      </c>
    </row>
    <row r="355" spans="1:23" x14ac:dyDescent="0.3">
      <c r="A355" s="2" t="s">
        <v>21</v>
      </c>
      <c r="B355" s="2">
        <v>11.026</v>
      </c>
      <c r="C355" s="2">
        <v>2000316710</v>
      </c>
      <c r="D355" s="2">
        <v>82.8</v>
      </c>
      <c r="E355" s="2"/>
      <c r="F355" s="2">
        <v>675</v>
      </c>
      <c r="G355" s="2">
        <v>1125</v>
      </c>
      <c r="H355" s="2"/>
      <c r="I355" s="2"/>
      <c r="J355" s="3">
        <f>IF(A355="Upgrade",IF(OR(H355=4,H355=5),VLOOKUP(I355,'Renewal Rates'!$A$22:$B$27,2,FALSE),2.7%),IF(A355="Renewal",100%,0%))</f>
        <v>2.7000000000000003E-2</v>
      </c>
      <c r="K355" s="2" t="s">
        <v>35</v>
      </c>
      <c r="L355" s="2">
        <v>385</v>
      </c>
      <c r="M355" s="2" t="s">
        <v>23</v>
      </c>
      <c r="N355" s="2" t="s">
        <v>24</v>
      </c>
      <c r="O355" s="4">
        <v>580076</v>
      </c>
      <c r="P355" s="4">
        <v>7009</v>
      </c>
      <c r="Q355" s="4">
        <v>197226</v>
      </c>
      <c r="R355" s="4">
        <v>777302</v>
      </c>
      <c r="S355" s="5">
        <v>0.4</v>
      </c>
      <c r="T355" s="4">
        <v>310921</v>
      </c>
      <c r="U355" s="4">
        <v>1088222</v>
      </c>
      <c r="V355" s="6">
        <f t="shared" si="10"/>
        <v>29381.994000000002</v>
      </c>
      <c r="W355" s="6">
        <f t="shared" si="11"/>
        <v>1058840.0060000001</v>
      </c>
    </row>
    <row r="356" spans="1:23" x14ac:dyDescent="0.3">
      <c r="A356" s="2" t="s">
        <v>21</v>
      </c>
      <c r="B356" s="2">
        <v>11.025</v>
      </c>
      <c r="C356" s="2">
        <v>2000351489</v>
      </c>
      <c r="D356" s="2">
        <v>81.7</v>
      </c>
      <c r="E356" s="2"/>
      <c r="F356" s="2">
        <v>675</v>
      </c>
      <c r="G356" s="2">
        <v>1050</v>
      </c>
      <c r="H356" s="2"/>
      <c r="I356" s="2"/>
      <c r="J356" s="3">
        <f>IF(A356="Upgrade",IF(OR(H356=4,H356=5),VLOOKUP(I356,'Renewal Rates'!$A$22:$B$27,2,FALSE),2.7%),IF(A356="Renewal",100%,0%))</f>
        <v>2.7000000000000003E-2</v>
      </c>
      <c r="K356" s="2" t="s">
        <v>35</v>
      </c>
      <c r="L356" s="2">
        <v>385</v>
      </c>
      <c r="M356" s="2" t="s">
        <v>23</v>
      </c>
      <c r="N356" s="2" t="s">
        <v>24</v>
      </c>
      <c r="O356" s="4">
        <v>542342</v>
      </c>
      <c r="P356" s="4">
        <v>6635</v>
      </c>
      <c r="Q356" s="4">
        <v>184396</v>
      </c>
      <c r="R356" s="4">
        <v>726738</v>
      </c>
      <c r="S356" s="5">
        <v>0.4</v>
      </c>
      <c r="T356" s="4">
        <v>290695</v>
      </c>
      <c r="U356" s="4">
        <v>1017434</v>
      </c>
      <c r="V356" s="6">
        <f t="shared" si="10"/>
        <v>27470.718000000004</v>
      </c>
      <c r="W356" s="6">
        <f t="shared" si="11"/>
        <v>989963.28200000001</v>
      </c>
    </row>
    <row r="357" spans="1:23" x14ac:dyDescent="0.3">
      <c r="A357" s="2" t="s">
        <v>21</v>
      </c>
      <c r="B357" s="2">
        <v>11.023999999999999</v>
      </c>
      <c r="C357" s="2">
        <v>2000617233</v>
      </c>
      <c r="D357" s="2">
        <v>85.1</v>
      </c>
      <c r="E357" s="2"/>
      <c r="F357" s="2">
        <v>675</v>
      </c>
      <c r="G357" s="2">
        <v>975</v>
      </c>
      <c r="H357" s="2"/>
      <c r="I357" s="2"/>
      <c r="J357" s="3">
        <f>IF(A357="Upgrade",IF(OR(H357=4,H357=5),VLOOKUP(I357,'Renewal Rates'!$A$22:$B$27,2,FALSE),2.7%),IF(A357="Renewal",100%,0%))</f>
        <v>2.7000000000000003E-2</v>
      </c>
      <c r="K357" s="2" t="s">
        <v>35</v>
      </c>
      <c r="L357" s="2">
        <v>385</v>
      </c>
      <c r="M357" s="2" t="s">
        <v>23</v>
      </c>
      <c r="N357" s="2" t="s">
        <v>24</v>
      </c>
      <c r="O357" s="4">
        <v>513143</v>
      </c>
      <c r="P357" s="4">
        <v>6030</v>
      </c>
      <c r="Q357" s="4">
        <v>174469</v>
      </c>
      <c r="R357" s="4">
        <v>687611</v>
      </c>
      <c r="S357" s="5">
        <v>0.4</v>
      </c>
      <c r="T357" s="4">
        <v>275045</v>
      </c>
      <c r="U357" s="4">
        <v>962656</v>
      </c>
      <c r="V357" s="6">
        <f t="shared" si="10"/>
        <v>25991.712000000003</v>
      </c>
      <c r="W357" s="6">
        <f t="shared" si="11"/>
        <v>936664.28799999994</v>
      </c>
    </row>
    <row r="358" spans="1:23" x14ac:dyDescent="0.3">
      <c r="A358" s="2" t="s">
        <v>21</v>
      </c>
      <c r="B358" s="2">
        <v>11.023</v>
      </c>
      <c r="C358" s="2">
        <v>2000895911</v>
      </c>
      <c r="D358" s="2">
        <v>71</v>
      </c>
      <c r="E358" s="2"/>
      <c r="F358" s="2">
        <v>375</v>
      </c>
      <c r="G358" s="2">
        <v>750</v>
      </c>
      <c r="H358" s="2"/>
      <c r="I358" s="2"/>
      <c r="J358" s="3">
        <f>IF(A358="Upgrade",IF(OR(H358=4,H358=5),VLOOKUP(I358,'Renewal Rates'!$A$22:$B$27,2,FALSE),2.7%),IF(A358="Renewal",100%,0%))</f>
        <v>2.7000000000000003E-2</v>
      </c>
      <c r="K358" s="2" t="s">
        <v>35</v>
      </c>
      <c r="L358" s="2">
        <v>385</v>
      </c>
      <c r="M358" s="2" t="s">
        <v>23</v>
      </c>
      <c r="N358" s="2" t="s">
        <v>24</v>
      </c>
      <c r="O358" s="4">
        <v>306600</v>
      </c>
      <c r="P358" s="4">
        <v>4320</v>
      </c>
      <c r="Q358" s="4">
        <v>104244</v>
      </c>
      <c r="R358" s="4">
        <v>410844</v>
      </c>
      <c r="S358" s="5">
        <v>0.4</v>
      </c>
      <c r="T358" s="4">
        <v>164337</v>
      </c>
      <c r="U358" s="4">
        <v>575181</v>
      </c>
      <c r="V358" s="6">
        <f t="shared" si="10"/>
        <v>15529.887000000002</v>
      </c>
      <c r="W358" s="6">
        <f t="shared" si="11"/>
        <v>559651.11300000001</v>
      </c>
    </row>
    <row r="359" spans="1:23" x14ac:dyDescent="0.3">
      <c r="A359" s="2" t="s">
        <v>21</v>
      </c>
      <c r="B359" s="2">
        <v>11.022</v>
      </c>
      <c r="C359" s="2">
        <v>2000969508</v>
      </c>
      <c r="D359" s="2">
        <v>105.7</v>
      </c>
      <c r="E359" s="2"/>
      <c r="F359" s="2">
        <v>375</v>
      </c>
      <c r="G359" s="2">
        <v>825</v>
      </c>
      <c r="H359" s="2"/>
      <c r="I359" s="2"/>
      <c r="J359" s="3">
        <f>IF(A359="Upgrade",IF(OR(H359=4,H359=5),VLOOKUP(I359,'Renewal Rates'!$A$22:$B$27,2,FALSE),2.7%),IF(A359="Renewal",100%,0%))</f>
        <v>2.7000000000000003E-2</v>
      </c>
      <c r="K359" s="2" t="s">
        <v>34</v>
      </c>
      <c r="L359" s="2">
        <v>377</v>
      </c>
      <c r="M359" s="2" t="s">
        <v>23</v>
      </c>
      <c r="N359" s="2" t="s">
        <v>24</v>
      </c>
      <c r="O359" s="4">
        <v>514817</v>
      </c>
      <c r="P359" s="4">
        <v>4872</v>
      </c>
      <c r="Q359" s="4">
        <v>175038</v>
      </c>
      <c r="R359" s="4">
        <v>689855</v>
      </c>
      <c r="S359" s="5">
        <v>0.4</v>
      </c>
      <c r="T359" s="4">
        <v>275942</v>
      </c>
      <c r="U359" s="4">
        <v>965798</v>
      </c>
      <c r="V359" s="6">
        <f t="shared" si="10"/>
        <v>26076.546000000002</v>
      </c>
      <c r="W359" s="6">
        <f t="shared" si="11"/>
        <v>939721.45400000003</v>
      </c>
    </row>
    <row r="360" spans="1:23" x14ac:dyDescent="0.3">
      <c r="A360" s="2" t="s">
        <v>21</v>
      </c>
      <c r="B360" s="2">
        <v>11.021000000000001</v>
      </c>
      <c r="C360" s="2">
        <v>2000870642</v>
      </c>
      <c r="D360" s="2">
        <v>90.1</v>
      </c>
      <c r="E360" s="2"/>
      <c r="F360" s="2">
        <v>225</v>
      </c>
      <c r="G360" s="2">
        <v>600</v>
      </c>
      <c r="H360" s="2"/>
      <c r="I360" s="2"/>
      <c r="J360" s="3">
        <f>IF(A360="Upgrade",IF(OR(H360=4,H360=5),VLOOKUP(I360,'Renewal Rates'!$A$22:$B$27,2,FALSE),2.7%),IF(A360="Renewal",100%,0%))</f>
        <v>2.7000000000000003E-2</v>
      </c>
      <c r="K360" s="2" t="s">
        <v>34</v>
      </c>
      <c r="L360" s="2">
        <v>377</v>
      </c>
      <c r="M360" s="2" t="s">
        <v>23</v>
      </c>
      <c r="N360" s="2" t="s">
        <v>24</v>
      </c>
      <c r="O360" s="4">
        <v>291132</v>
      </c>
      <c r="P360" s="4">
        <v>3230</v>
      </c>
      <c r="Q360" s="4">
        <v>98985</v>
      </c>
      <c r="R360" s="4">
        <v>390117</v>
      </c>
      <c r="S360" s="5">
        <v>0.4</v>
      </c>
      <c r="T360" s="4">
        <v>156047</v>
      </c>
      <c r="U360" s="4">
        <v>546164</v>
      </c>
      <c r="V360" s="6">
        <f t="shared" si="10"/>
        <v>14746.428000000002</v>
      </c>
      <c r="W360" s="6">
        <f t="shared" si="11"/>
        <v>531417.57200000004</v>
      </c>
    </row>
    <row r="361" spans="1:23" x14ac:dyDescent="0.3">
      <c r="A361" s="2" t="s">
        <v>25</v>
      </c>
      <c r="B361" s="2">
        <v>11.006</v>
      </c>
      <c r="C361" s="2"/>
      <c r="D361" s="2"/>
      <c r="E361" s="2">
        <v>66.5</v>
      </c>
      <c r="F361" s="2"/>
      <c r="G361" s="2">
        <v>375</v>
      </c>
      <c r="H361" s="2"/>
      <c r="I361" s="2"/>
      <c r="J361" s="3">
        <f>IF(A361="Upgrade",IF(OR(H361=4,H361=5),VLOOKUP(I361,'Renewal Rates'!$A$22:$B$27,2,FALSE),2.7%),IF(A361="Renewal",100%,0%))</f>
        <v>0</v>
      </c>
      <c r="K361" s="2" t="s">
        <v>35</v>
      </c>
      <c r="L361" s="2">
        <v>385</v>
      </c>
      <c r="M361" s="2" t="s">
        <v>23</v>
      </c>
      <c r="N361" s="2" t="s">
        <v>24</v>
      </c>
      <c r="O361" s="4">
        <v>156751</v>
      </c>
      <c r="P361" s="4">
        <v>2356</v>
      </c>
      <c r="Q361" s="4">
        <v>53295</v>
      </c>
      <c r="R361" s="4">
        <v>210047</v>
      </c>
      <c r="S361" s="5">
        <v>0.4</v>
      </c>
      <c r="T361" s="4">
        <v>84019</v>
      </c>
      <c r="U361" s="4">
        <v>294065</v>
      </c>
      <c r="V361" s="6">
        <f t="shared" si="10"/>
        <v>0</v>
      </c>
      <c r="W361" s="6">
        <f t="shared" si="11"/>
        <v>294065</v>
      </c>
    </row>
    <row r="362" spans="1:23" x14ac:dyDescent="0.3">
      <c r="A362" s="2" t="s">
        <v>21</v>
      </c>
      <c r="B362" s="2">
        <v>11.02</v>
      </c>
      <c r="C362" s="2">
        <v>2000878153</v>
      </c>
      <c r="D362" s="2">
        <v>43.6</v>
      </c>
      <c r="E362" s="2"/>
      <c r="F362" s="2">
        <v>825</v>
      </c>
      <c r="G362" s="2">
        <v>1350</v>
      </c>
      <c r="H362" s="2"/>
      <c r="I362" s="2"/>
      <c r="J362" s="3">
        <f>IF(A362="Upgrade",IF(OR(H362=4,H362=5),VLOOKUP(I362,'Renewal Rates'!$A$22:$B$27,2,FALSE),2.7%),IF(A362="Renewal",100%,0%))</f>
        <v>2.7000000000000003E-2</v>
      </c>
      <c r="K362" s="2" t="s">
        <v>34</v>
      </c>
      <c r="L362" s="2">
        <v>377</v>
      </c>
      <c r="M362" s="2" t="s">
        <v>23</v>
      </c>
      <c r="N362" s="2" t="s">
        <v>24</v>
      </c>
      <c r="O362" s="4">
        <v>324957</v>
      </c>
      <c r="P362" s="4">
        <v>7453</v>
      </c>
      <c r="Q362" s="4">
        <v>110485</v>
      </c>
      <c r="R362" s="4">
        <v>435442</v>
      </c>
      <c r="S362" s="5">
        <v>0.4</v>
      </c>
      <c r="T362" s="4">
        <v>174177</v>
      </c>
      <c r="U362" s="4">
        <v>609619</v>
      </c>
      <c r="V362" s="6">
        <f t="shared" si="10"/>
        <v>16459.713000000003</v>
      </c>
      <c r="W362" s="6">
        <f t="shared" si="11"/>
        <v>593159.28700000001</v>
      </c>
    </row>
    <row r="363" spans="1:23" x14ac:dyDescent="0.3">
      <c r="A363" s="2" t="s">
        <v>21</v>
      </c>
      <c r="B363" s="2">
        <v>11.02</v>
      </c>
      <c r="C363" s="2">
        <v>3000137809</v>
      </c>
      <c r="D363" s="2">
        <v>23.9</v>
      </c>
      <c r="E363" s="2"/>
      <c r="F363" s="2">
        <v>825</v>
      </c>
      <c r="G363" s="2">
        <v>1350</v>
      </c>
      <c r="H363" s="2"/>
      <c r="I363" s="2"/>
      <c r="J363" s="3">
        <f>IF(A363="Upgrade",IF(OR(H363=4,H363=5),VLOOKUP(I363,'Renewal Rates'!$A$22:$B$27,2,FALSE),2.7%),IF(A363="Renewal",100%,0%))</f>
        <v>2.7000000000000003E-2</v>
      </c>
      <c r="K363" s="2" t="s">
        <v>34</v>
      </c>
      <c r="L363" s="2">
        <v>377</v>
      </c>
      <c r="M363" s="2" t="s">
        <v>23</v>
      </c>
      <c r="N363" s="2" t="s">
        <v>24</v>
      </c>
      <c r="O363" s="4">
        <v>181058</v>
      </c>
      <c r="P363" s="4">
        <v>7567</v>
      </c>
      <c r="Q363" s="4">
        <v>61560</v>
      </c>
      <c r="R363" s="4">
        <v>242617</v>
      </c>
      <c r="S363" s="5">
        <v>0.4</v>
      </c>
      <c r="T363" s="4">
        <v>97047</v>
      </c>
      <c r="U363" s="4">
        <v>339664</v>
      </c>
      <c r="V363" s="6">
        <f t="shared" si="10"/>
        <v>9170.9280000000017</v>
      </c>
      <c r="W363" s="6">
        <f t="shared" si="11"/>
        <v>330493.07199999999</v>
      </c>
    </row>
    <row r="364" spans="1:23" x14ac:dyDescent="0.3">
      <c r="A364" s="2" t="s">
        <v>21</v>
      </c>
      <c r="B364" s="2">
        <v>11.02</v>
      </c>
      <c r="C364" s="2">
        <v>2000136909</v>
      </c>
      <c r="D364" s="2">
        <v>29.8</v>
      </c>
      <c r="E364" s="2"/>
      <c r="F364" s="2">
        <v>825</v>
      </c>
      <c r="G364" s="2">
        <v>1350</v>
      </c>
      <c r="H364" s="2"/>
      <c r="I364" s="2"/>
      <c r="J364" s="3">
        <f>IF(A364="Upgrade",IF(OR(H364=4,H364=5),VLOOKUP(I364,'Renewal Rates'!$A$22:$B$27,2,FALSE),2.7%),IF(A364="Renewal",100%,0%))</f>
        <v>2.7000000000000003E-2</v>
      </c>
      <c r="K364" s="2" t="s">
        <v>34</v>
      </c>
      <c r="L364" s="2">
        <v>377</v>
      </c>
      <c r="M364" s="2" t="s">
        <v>23</v>
      </c>
      <c r="N364" s="2" t="s">
        <v>24</v>
      </c>
      <c r="O364" s="4">
        <v>219738</v>
      </c>
      <c r="P364" s="4">
        <v>7362</v>
      </c>
      <c r="Q364" s="4">
        <v>74711</v>
      </c>
      <c r="R364" s="4">
        <v>294449</v>
      </c>
      <c r="S364" s="5">
        <v>0.4</v>
      </c>
      <c r="T364" s="4">
        <v>117779</v>
      </c>
      <c r="U364" s="4">
        <v>412228</v>
      </c>
      <c r="V364" s="6">
        <f t="shared" si="10"/>
        <v>11130.156000000001</v>
      </c>
      <c r="W364" s="6">
        <f t="shared" si="11"/>
        <v>401097.84399999998</v>
      </c>
    </row>
    <row r="365" spans="1:23" x14ac:dyDescent="0.3">
      <c r="A365" s="2" t="s">
        <v>21</v>
      </c>
      <c r="B365" s="2">
        <v>11.02</v>
      </c>
      <c r="C365" s="2">
        <v>2000589094</v>
      </c>
      <c r="D365" s="2">
        <v>13</v>
      </c>
      <c r="E365" s="2"/>
      <c r="F365" s="2">
        <v>825</v>
      </c>
      <c r="G365" s="2">
        <v>1350</v>
      </c>
      <c r="H365" s="2"/>
      <c r="I365" s="2"/>
      <c r="J365" s="3">
        <f>IF(A365="Upgrade",IF(OR(H365=4,H365=5),VLOOKUP(I365,'Renewal Rates'!$A$22:$B$27,2,FALSE),2.7%),IF(A365="Renewal",100%,0%))</f>
        <v>2.7000000000000003E-2</v>
      </c>
      <c r="K365" s="2" t="s">
        <v>34</v>
      </c>
      <c r="L365" s="2">
        <v>377</v>
      </c>
      <c r="M365" s="2" t="s">
        <v>23</v>
      </c>
      <c r="N365" s="2" t="s">
        <v>24</v>
      </c>
      <c r="O365" s="4">
        <v>106160</v>
      </c>
      <c r="P365" s="4">
        <v>8167</v>
      </c>
      <c r="Q365" s="4">
        <v>36094</v>
      </c>
      <c r="R365" s="4">
        <v>142255</v>
      </c>
      <c r="S365" s="5">
        <v>0.4</v>
      </c>
      <c r="T365" s="4">
        <v>56902</v>
      </c>
      <c r="U365" s="4">
        <v>199157</v>
      </c>
      <c r="V365" s="6">
        <f t="shared" si="10"/>
        <v>5377.2390000000005</v>
      </c>
      <c r="W365" s="6">
        <f t="shared" si="11"/>
        <v>193779.761</v>
      </c>
    </row>
    <row r="366" spans="1:23" x14ac:dyDescent="0.3">
      <c r="A366" s="2" t="s">
        <v>25</v>
      </c>
      <c r="B366" s="2">
        <v>11.007</v>
      </c>
      <c r="C366" s="2"/>
      <c r="D366" s="2"/>
      <c r="E366" s="2">
        <v>79.900000000000006</v>
      </c>
      <c r="F366" s="2"/>
      <c r="G366" s="2">
        <v>525</v>
      </c>
      <c r="H366" s="2"/>
      <c r="I366" s="2"/>
      <c r="J366" s="3">
        <f>IF(A366="Upgrade",IF(OR(H366=4,H366=5),VLOOKUP(I366,'Renewal Rates'!$A$22:$B$27,2,FALSE),2.7%),IF(A366="Renewal",100%,0%))</f>
        <v>0</v>
      </c>
      <c r="K366" s="2" t="s">
        <v>34</v>
      </c>
      <c r="L366" s="2">
        <v>377</v>
      </c>
      <c r="M366" s="2" t="s">
        <v>23</v>
      </c>
      <c r="N366" s="2" t="s">
        <v>24</v>
      </c>
      <c r="O366" s="4">
        <v>249202</v>
      </c>
      <c r="P366" s="4">
        <v>3118</v>
      </c>
      <c r="Q366" s="4">
        <v>84729</v>
      </c>
      <c r="R366" s="4">
        <v>333931</v>
      </c>
      <c r="S366" s="5">
        <v>0.4</v>
      </c>
      <c r="T366" s="4">
        <v>133572</v>
      </c>
      <c r="U366" s="4">
        <v>467504</v>
      </c>
      <c r="V366" s="6">
        <f t="shared" si="10"/>
        <v>0</v>
      </c>
      <c r="W366" s="6">
        <f t="shared" si="11"/>
        <v>467504</v>
      </c>
    </row>
    <row r="367" spans="1:23" x14ac:dyDescent="0.3">
      <c r="A367" s="2" t="s">
        <v>21</v>
      </c>
      <c r="B367" s="2">
        <v>11.019</v>
      </c>
      <c r="C367" s="2">
        <v>2000129299</v>
      </c>
      <c r="D367" s="2">
        <v>80.599999999999994</v>
      </c>
      <c r="E367" s="2"/>
      <c r="F367" s="2">
        <v>825</v>
      </c>
      <c r="G367" s="2">
        <v>1275</v>
      </c>
      <c r="H367" s="2"/>
      <c r="I367" s="2"/>
      <c r="J367" s="3">
        <f>IF(A367="Upgrade",IF(OR(H367=4,H367=5),VLOOKUP(I367,'Renewal Rates'!$A$22:$B$27,2,FALSE),2.7%),IF(A367="Renewal",100%,0%))</f>
        <v>2.7000000000000003E-2</v>
      </c>
      <c r="K367" s="2" t="s">
        <v>34</v>
      </c>
      <c r="L367" s="2">
        <v>377</v>
      </c>
      <c r="M367" s="2" t="s">
        <v>23</v>
      </c>
      <c r="N367" s="2" t="s">
        <v>24</v>
      </c>
      <c r="O367" s="4">
        <v>545416</v>
      </c>
      <c r="P367" s="4">
        <v>6771</v>
      </c>
      <c r="Q367" s="4">
        <v>185442</v>
      </c>
      <c r="R367" s="4">
        <v>730858</v>
      </c>
      <c r="S367" s="5">
        <v>0.4</v>
      </c>
      <c r="T367" s="4">
        <v>292343</v>
      </c>
      <c r="U367" s="4">
        <v>1023201</v>
      </c>
      <c r="V367" s="6">
        <f t="shared" si="10"/>
        <v>27626.427000000003</v>
      </c>
      <c r="W367" s="6">
        <f t="shared" si="11"/>
        <v>995574.57299999997</v>
      </c>
    </row>
    <row r="368" spans="1:23" x14ac:dyDescent="0.3">
      <c r="A368" s="2" t="s">
        <v>21</v>
      </c>
      <c r="B368" s="2">
        <v>11.019</v>
      </c>
      <c r="C368" s="2">
        <v>2000072076</v>
      </c>
      <c r="D368" s="2">
        <v>41.5</v>
      </c>
      <c r="E368" s="2"/>
      <c r="F368" s="2">
        <v>825</v>
      </c>
      <c r="G368" s="2">
        <v>1275</v>
      </c>
      <c r="H368" s="2"/>
      <c r="I368" s="2"/>
      <c r="J368" s="3">
        <f>IF(A368="Upgrade",IF(OR(H368=4,H368=5),VLOOKUP(I368,'Renewal Rates'!$A$22:$B$27,2,FALSE),2.7%),IF(A368="Renewal",100%,0%))</f>
        <v>2.7000000000000003E-2</v>
      </c>
      <c r="K368" s="2" t="s">
        <v>34</v>
      </c>
      <c r="L368" s="2">
        <v>377</v>
      </c>
      <c r="M368" s="2" t="s">
        <v>23</v>
      </c>
      <c r="N368" s="2" t="s">
        <v>24</v>
      </c>
      <c r="O368" s="4">
        <v>289943</v>
      </c>
      <c r="P368" s="4">
        <v>6987</v>
      </c>
      <c r="Q368" s="4">
        <v>98581</v>
      </c>
      <c r="R368" s="4">
        <v>388524</v>
      </c>
      <c r="S368" s="5">
        <v>0.4</v>
      </c>
      <c r="T368" s="4">
        <v>155409</v>
      </c>
      <c r="U368" s="4">
        <v>543933</v>
      </c>
      <c r="V368" s="6">
        <f t="shared" si="10"/>
        <v>14686.191000000003</v>
      </c>
      <c r="W368" s="6">
        <f t="shared" si="11"/>
        <v>529246.80900000001</v>
      </c>
    </row>
    <row r="369" spans="1:23" x14ac:dyDescent="0.3">
      <c r="A369" s="2" t="s">
        <v>21</v>
      </c>
      <c r="B369" s="2">
        <v>11.031000000000001</v>
      </c>
      <c r="C369" s="2">
        <v>2000211493</v>
      </c>
      <c r="D369" s="2">
        <v>9.5</v>
      </c>
      <c r="E369" s="2"/>
      <c r="F369" s="2">
        <v>225</v>
      </c>
      <c r="G369" s="2">
        <v>375</v>
      </c>
      <c r="H369" s="2"/>
      <c r="I369" s="2"/>
      <c r="J369" s="3">
        <f>IF(A369="Upgrade",IF(OR(H369=4,H369=5),VLOOKUP(I369,'Renewal Rates'!$A$22:$B$27,2,FALSE),2.7%),IF(A369="Renewal",100%,0%))</f>
        <v>2.7000000000000003E-2</v>
      </c>
      <c r="K369" s="2" t="s">
        <v>22</v>
      </c>
      <c r="L369" s="2">
        <v>377</v>
      </c>
      <c r="M369" s="2" t="s">
        <v>23</v>
      </c>
      <c r="N369" s="2" t="s">
        <v>24</v>
      </c>
      <c r="O369" s="4">
        <v>43749</v>
      </c>
      <c r="P369" s="4">
        <v>4604</v>
      </c>
      <c r="Q369" s="4">
        <v>14875</v>
      </c>
      <c r="R369" s="4">
        <v>58623</v>
      </c>
      <c r="S369" s="5">
        <v>0.4</v>
      </c>
      <c r="T369" s="4">
        <v>23449</v>
      </c>
      <c r="U369" s="4">
        <v>82073</v>
      </c>
      <c r="V369" s="6">
        <f t="shared" si="10"/>
        <v>2215.9710000000005</v>
      </c>
      <c r="W369" s="6">
        <f t="shared" si="11"/>
        <v>79857.028999999995</v>
      </c>
    </row>
    <row r="370" spans="1:23" x14ac:dyDescent="0.3">
      <c r="A370" s="2" t="s">
        <v>21</v>
      </c>
      <c r="B370" s="2">
        <v>11.031000000000001</v>
      </c>
      <c r="C370" s="2">
        <v>2000266974</v>
      </c>
      <c r="D370" s="2">
        <v>55.7</v>
      </c>
      <c r="E370" s="2"/>
      <c r="F370" s="2">
        <v>225</v>
      </c>
      <c r="G370" s="2">
        <v>375</v>
      </c>
      <c r="H370" s="2"/>
      <c r="I370" s="2"/>
      <c r="J370" s="3">
        <f>IF(A370="Upgrade",IF(OR(H370=4,H370=5),VLOOKUP(I370,'Renewal Rates'!$A$22:$B$27,2,FALSE),2.7%),IF(A370="Renewal",100%,0%))</f>
        <v>2.7000000000000003E-2</v>
      </c>
      <c r="K370" s="2" t="s">
        <v>22</v>
      </c>
      <c r="L370" s="2">
        <v>377</v>
      </c>
      <c r="M370" s="2" t="s">
        <v>23</v>
      </c>
      <c r="N370" s="2" t="s">
        <v>24</v>
      </c>
      <c r="O370" s="4">
        <v>134565</v>
      </c>
      <c r="P370" s="4">
        <v>2416</v>
      </c>
      <c r="Q370" s="4">
        <v>45752</v>
      </c>
      <c r="R370" s="4">
        <v>180317</v>
      </c>
      <c r="S370" s="5">
        <v>0.4</v>
      </c>
      <c r="T370" s="4">
        <v>72127</v>
      </c>
      <c r="U370" s="4">
        <v>252443</v>
      </c>
      <c r="V370" s="6">
        <f t="shared" si="10"/>
        <v>6815.9610000000011</v>
      </c>
      <c r="W370" s="6">
        <f t="shared" si="11"/>
        <v>245627.03899999999</v>
      </c>
    </row>
    <row r="371" spans="1:23" x14ac:dyDescent="0.3">
      <c r="A371" s="2" t="s">
        <v>21</v>
      </c>
      <c r="B371" s="2">
        <v>11.031000000000001</v>
      </c>
      <c r="C371" s="2">
        <v>2000575645</v>
      </c>
      <c r="D371" s="2">
        <v>31</v>
      </c>
      <c r="E371" s="2"/>
      <c r="F371" s="2">
        <v>225</v>
      </c>
      <c r="G371" s="2">
        <v>375</v>
      </c>
      <c r="H371" s="2"/>
      <c r="I371" s="2"/>
      <c r="J371" s="3">
        <f>IF(A371="Upgrade",IF(OR(H371=4,H371=5),VLOOKUP(I371,'Renewal Rates'!$A$22:$B$27,2,FALSE),2.7%),IF(A371="Renewal",100%,0%))</f>
        <v>2.7000000000000003E-2</v>
      </c>
      <c r="K371" s="2" t="s">
        <v>22</v>
      </c>
      <c r="L371" s="2">
        <v>377</v>
      </c>
      <c r="M371" s="2" t="s">
        <v>23</v>
      </c>
      <c r="N371" s="2" t="s">
        <v>24</v>
      </c>
      <c r="O371" s="4">
        <v>71860</v>
      </c>
      <c r="P371" s="4">
        <v>2315</v>
      </c>
      <c r="Q371" s="4">
        <v>24433</v>
      </c>
      <c r="R371" s="4">
        <v>96293</v>
      </c>
      <c r="S371" s="5">
        <v>0.4</v>
      </c>
      <c r="T371" s="4">
        <v>38517</v>
      </c>
      <c r="U371" s="4">
        <v>134810</v>
      </c>
      <c r="V371" s="6">
        <f t="shared" si="10"/>
        <v>3639.8700000000003</v>
      </c>
      <c r="W371" s="6">
        <f t="shared" si="11"/>
        <v>131170.13</v>
      </c>
    </row>
    <row r="372" spans="1:23" x14ac:dyDescent="0.3">
      <c r="A372" s="2" t="s">
        <v>21</v>
      </c>
      <c r="B372" s="2">
        <v>11.018000000000001</v>
      </c>
      <c r="C372" s="2">
        <v>2000251787</v>
      </c>
      <c r="D372" s="2">
        <v>57</v>
      </c>
      <c r="E372" s="2"/>
      <c r="F372" s="2">
        <v>825</v>
      </c>
      <c r="G372" s="2">
        <v>1275</v>
      </c>
      <c r="H372" s="2"/>
      <c r="I372" s="2"/>
      <c r="J372" s="3">
        <f>IF(A372="Upgrade",IF(OR(H372=4,H372=5),VLOOKUP(I372,'Renewal Rates'!$A$22:$B$27,2,FALSE),2.7%),IF(A372="Renewal",100%,0%))</f>
        <v>2.7000000000000003E-2</v>
      </c>
      <c r="K372" s="2" t="s">
        <v>34</v>
      </c>
      <c r="L372" s="2">
        <v>377</v>
      </c>
      <c r="M372" s="2" t="s">
        <v>23</v>
      </c>
      <c r="N372" s="2" t="s">
        <v>24</v>
      </c>
      <c r="O372" s="4">
        <v>395181</v>
      </c>
      <c r="P372" s="4">
        <v>6928</v>
      </c>
      <c r="Q372" s="4">
        <v>134361</v>
      </c>
      <c r="R372" s="4">
        <v>529542</v>
      </c>
      <c r="S372" s="5">
        <v>0.4</v>
      </c>
      <c r="T372" s="4">
        <v>211817</v>
      </c>
      <c r="U372" s="4">
        <v>741359</v>
      </c>
      <c r="V372" s="6">
        <f t="shared" si="10"/>
        <v>20016.693000000003</v>
      </c>
      <c r="W372" s="6">
        <f t="shared" si="11"/>
        <v>721342.30700000003</v>
      </c>
    </row>
    <row r="373" spans="1:23" x14ac:dyDescent="0.3">
      <c r="A373" s="2" t="s">
        <v>21</v>
      </c>
      <c r="B373" s="2">
        <v>11.016999999999999</v>
      </c>
      <c r="C373" s="2">
        <v>2000225664</v>
      </c>
      <c r="D373" s="2">
        <v>70.099999999999994</v>
      </c>
      <c r="E373" s="2"/>
      <c r="F373" s="2">
        <v>825</v>
      </c>
      <c r="G373" s="2">
        <v>1200</v>
      </c>
      <c r="H373" s="2"/>
      <c r="I373" s="2"/>
      <c r="J373" s="3">
        <f>IF(A373="Upgrade",IF(OR(H373=4,H373=5),VLOOKUP(I373,'Renewal Rates'!$A$22:$B$27,2,FALSE),2.7%),IF(A373="Renewal",100%,0%))</f>
        <v>2.7000000000000003E-2</v>
      </c>
      <c r="K373" s="2" t="s">
        <v>34</v>
      </c>
      <c r="L373" s="2">
        <v>377</v>
      </c>
      <c r="M373" s="2" t="s">
        <v>23</v>
      </c>
      <c r="N373" s="2" t="s">
        <v>24</v>
      </c>
      <c r="O373" s="4">
        <v>540515</v>
      </c>
      <c r="P373" s="4">
        <v>7714</v>
      </c>
      <c r="Q373" s="4">
        <v>183775</v>
      </c>
      <c r="R373" s="4">
        <v>724290</v>
      </c>
      <c r="S373" s="5">
        <v>0.4</v>
      </c>
      <c r="T373" s="4">
        <v>289716</v>
      </c>
      <c r="U373" s="4">
        <v>1014006</v>
      </c>
      <c r="V373" s="6">
        <f t="shared" si="10"/>
        <v>27378.162000000004</v>
      </c>
      <c r="W373" s="6">
        <f t="shared" si="11"/>
        <v>986627.83799999999</v>
      </c>
    </row>
    <row r="374" spans="1:23" x14ac:dyDescent="0.3">
      <c r="A374" s="2" t="s">
        <v>25</v>
      </c>
      <c r="B374" s="2">
        <v>11.007999999999999</v>
      </c>
      <c r="C374" s="2"/>
      <c r="D374" s="2"/>
      <c r="E374" s="2">
        <v>77.099999999999994</v>
      </c>
      <c r="F374" s="2"/>
      <c r="G374" s="2">
        <v>375</v>
      </c>
      <c r="H374" s="2"/>
      <c r="I374" s="2"/>
      <c r="J374" s="3">
        <f>IF(A374="Upgrade",IF(OR(H374=4,H374=5),VLOOKUP(I374,'Renewal Rates'!$A$22:$B$27,2,FALSE),2.7%),IF(A374="Renewal",100%,0%))</f>
        <v>0</v>
      </c>
      <c r="K374" s="2" t="s">
        <v>34</v>
      </c>
      <c r="L374" s="2">
        <v>377</v>
      </c>
      <c r="M374" s="2" t="s">
        <v>23</v>
      </c>
      <c r="N374" s="2" t="s">
        <v>24</v>
      </c>
      <c r="O374" s="4">
        <v>175855</v>
      </c>
      <c r="P374" s="4">
        <v>2281</v>
      </c>
      <c r="Q374" s="4">
        <v>59791</v>
      </c>
      <c r="R374" s="4">
        <v>235646</v>
      </c>
      <c r="S374" s="5">
        <v>0.4</v>
      </c>
      <c r="T374" s="4">
        <v>94259</v>
      </c>
      <c r="U374" s="4">
        <v>329905</v>
      </c>
      <c r="V374" s="6">
        <f t="shared" si="10"/>
        <v>0</v>
      </c>
      <c r="W374" s="6">
        <f t="shared" si="11"/>
        <v>329905</v>
      </c>
    </row>
    <row r="375" spans="1:23" x14ac:dyDescent="0.3">
      <c r="A375" s="2" t="s">
        <v>21</v>
      </c>
      <c r="B375" s="2">
        <v>11.016</v>
      </c>
      <c r="C375" s="2">
        <v>2000036366</v>
      </c>
      <c r="D375" s="2">
        <v>66.2</v>
      </c>
      <c r="E375" s="2"/>
      <c r="F375" s="2">
        <v>750</v>
      </c>
      <c r="G375" s="2">
        <v>1200</v>
      </c>
      <c r="H375" s="2">
        <v>4</v>
      </c>
      <c r="I375" s="2">
        <v>2</v>
      </c>
      <c r="J375" s="3">
        <f>IF(A375="Upgrade",IF(OR(H375=4,H375=5),VLOOKUP(I375,'Renewal Rates'!$A$22:$B$27,2,FALSE),2.7%),IF(A375="Renewal",100%,0%))</f>
        <v>0</v>
      </c>
      <c r="K375" s="2" t="s">
        <v>34</v>
      </c>
      <c r="L375" s="2">
        <v>377</v>
      </c>
      <c r="M375" s="2" t="s">
        <v>23</v>
      </c>
      <c r="N375" s="2" t="s">
        <v>24</v>
      </c>
      <c r="O375" s="4">
        <v>508774</v>
      </c>
      <c r="P375" s="4">
        <v>7682</v>
      </c>
      <c r="Q375" s="4">
        <v>172983</v>
      </c>
      <c r="R375" s="4">
        <v>681757</v>
      </c>
      <c r="S375" s="5">
        <v>0.4</v>
      </c>
      <c r="T375" s="4">
        <v>272703</v>
      </c>
      <c r="U375" s="4">
        <v>954459</v>
      </c>
      <c r="V375" s="6">
        <f t="shared" si="10"/>
        <v>0</v>
      </c>
      <c r="W375" s="6">
        <f t="shared" si="11"/>
        <v>954459</v>
      </c>
    </row>
    <row r="376" spans="1:23" x14ac:dyDescent="0.3">
      <c r="A376" s="2" t="s">
        <v>21</v>
      </c>
      <c r="B376" s="2">
        <v>11.016</v>
      </c>
      <c r="C376" s="2">
        <v>2000141927</v>
      </c>
      <c r="D376" s="2">
        <v>31.7</v>
      </c>
      <c r="E376" s="2"/>
      <c r="F376" s="2">
        <v>750</v>
      </c>
      <c r="G376" s="2">
        <v>1200</v>
      </c>
      <c r="H376" s="2"/>
      <c r="I376" s="2"/>
      <c r="J376" s="3">
        <f>IF(A376="Upgrade",IF(OR(H376=4,H376=5),VLOOKUP(I376,'Renewal Rates'!$A$22:$B$27,2,FALSE),2.7%),IF(A376="Renewal",100%,0%))</f>
        <v>2.7000000000000003E-2</v>
      </c>
      <c r="K376" s="2" t="s">
        <v>34</v>
      </c>
      <c r="L376" s="2">
        <v>377</v>
      </c>
      <c r="M376" s="2" t="s">
        <v>23</v>
      </c>
      <c r="N376" s="2" t="s">
        <v>24</v>
      </c>
      <c r="O376" s="4">
        <v>253761</v>
      </c>
      <c r="P376" s="4">
        <v>8015</v>
      </c>
      <c r="Q376" s="4">
        <v>86279</v>
      </c>
      <c r="R376" s="4">
        <v>340039</v>
      </c>
      <c r="S376" s="5">
        <v>0.4</v>
      </c>
      <c r="T376" s="4">
        <v>136016</v>
      </c>
      <c r="U376" s="4">
        <v>476055</v>
      </c>
      <c r="V376" s="6">
        <f t="shared" si="10"/>
        <v>12853.485000000002</v>
      </c>
      <c r="W376" s="6">
        <f t="shared" si="11"/>
        <v>463201.51500000001</v>
      </c>
    </row>
    <row r="377" spans="1:23" x14ac:dyDescent="0.3">
      <c r="A377" s="2" t="s">
        <v>21</v>
      </c>
      <c r="B377" s="2">
        <v>11.015000000000001</v>
      </c>
      <c r="C377" s="2">
        <v>3000021733</v>
      </c>
      <c r="D377" s="2">
        <v>15.8</v>
      </c>
      <c r="E377" s="2"/>
      <c r="F377" s="2">
        <v>900</v>
      </c>
      <c r="G377" s="2">
        <v>1200</v>
      </c>
      <c r="H377" s="2"/>
      <c r="I377" s="2"/>
      <c r="J377" s="3">
        <f>IF(A377="Upgrade",IF(OR(H377=4,H377=5),VLOOKUP(I377,'Renewal Rates'!$A$22:$B$27,2,FALSE),2.7%),IF(A377="Renewal",100%,0%))</f>
        <v>2.7000000000000003E-2</v>
      </c>
      <c r="K377" s="2" t="s">
        <v>34</v>
      </c>
      <c r="L377" s="2">
        <v>377</v>
      </c>
      <c r="M377" s="2" t="s">
        <v>23</v>
      </c>
      <c r="N377" s="2" t="s">
        <v>24</v>
      </c>
      <c r="O377" s="4">
        <v>148283</v>
      </c>
      <c r="P377" s="4">
        <v>9380</v>
      </c>
      <c r="Q377" s="4">
        <v>50416</v>
      </c>
      <c r="R377" s="4">
        <v>198700</v>
      </c>
      <c r="S377" s="5">
        <v>0.4</v>
      </c>
      <c r="T377" s="4">
        <v>79480</v>
      </c>
      <c r="U377" s="4">
        <v>278180</v>
      </c>
      <c r="V377" s="6">
        <f t="shared" si="10"/>
        <v>7510.8600000000006</v>
      </c>
      <c r="W377" s="6">
        <f t="shared" si="11"/>
        <v>270669.14</v>
      </c>
    </row>
    <row r="378" spans="1:23" x14ac:dyDescent="0.3">
      <c r="A378" s="2" t="s">
        <v>21</v>
      </c>
      <c r="B378" s="2">
        <v>11.015000000000001</v>
      </c>
      <c r="C378" s="2">
        <v>3000021735</v>
      </c>
      <c r="D378" s="2">
        <v>10.4</v>
      </c>
      <c r="E378" s="2"/>
      <c r="F378" s="2">
        <v>900</v>
      </c>
      <c r="G378" s="2">
        <v>1200</v>
      </c>
      <c r="H378" s="2"/>
      <c r="I378" s="2"/>
      <c r="J378" s="3">
        <f>IF(A378="Upgrade",IF(OR(H378=4,H378=5),VLOOKUP(I378,'Renewal Rates'!$A$22:$B$27,2,FALSE),2.7%),IF(A378="Renewal",100%,0%))</f>
        <v>2.7000000000000003E-2</v>
      </c>
      <c r="K378" s="2" t="s">
        <v>34</v>
      </c>
      <c r="L378" s="2">
        <v>377</v>
      </c>
      <c r="M378" s="2" t="s">
        <v>23</v>
      </c>
      <c r="N378" s="2" t="s">
        <v>24</v>
      </c>
      <c r="O378" s="4">
        <v>112816</v>
      </c>
      <c r="P378" s="4">
        <v>10854</v>
      </c>
      <c r="Q378" s="4">
        <v>38358</v>
      </c>
      <c r="R378" s="4">
        <v>151174</v>
      </c>
      <c r="S378" s="5">
        <v>0.4</v>
      </c>
      <c r="T378" s="4">
        <v>60469</v>
      </c>
      <c r="U378" s="4">
        <v>211643</v>
      </c>
      <c r="V378" s="6">
        <f t="shared" si="10"/>
        <v>5714.3610000000008</v>
      </c>
      <c r="W378" s="6">
        <f t="shared" si="11"/>
        <v>205928.639</v>
      </c>
    </row>
    <row r="379" spans="1:23" x14ac:dyDescent="0.3">
      <c r="A379" s="2" t="s">
        <v>21</v>
      </c>
      <c r="B379" s="2">
        <v>11.015000000000001</v>
      </c>
      <c r="C379" s="2">
        <v>2000405181</v>
      </c>
      <c r="D379" s="2">
        <v>65.900000000000006</v>
      </c>
      <c r="E379" s="2"/>
      <c r="F379" s="2">
        <v>900</v>
      </c>
      <c r="G379" s="2">
        <v>1200</v>
      </c>
      <c r="H379" s="2">
        <v>5</v>
      </c>
      <c r="I379" s="2">
        <v>3</v>
      </c>
      <c r="J379" s="3">
        <f>IF(A379="Upgrade",IF(OR(H379=4,H379=5),VLOOKUP(I379,'Renewal Rates'!$A$22:$B$27,2,FALSE),2.7%),IF(A379="Renewal",100%,0%))</f>
        <v>0.21</v>
      </c>
      <c r="K379" s="2" t="s">
        <v>34</v>
      </c>
      <c r="L379" s="2">
        <v>377</v>
      </c>
      <c r="M379" s="2" t="s">
        <v>23</v>
      </c>
      <c r="N379" s="2" t="s">
        <v>24</v>
      </c>
      <c r="O379" s="4">
        <v>507890</v>
      </c>
      <c r="P379" s="4">
        <v>7712</v>
      </c>
      <c r="Q379" s="4">
        <v>172683</v>
      </c>
      <c r="R379" s="4">
        <v>680573</v>
      </c>
      <c r="S379" s="5">
        <v>0.4</v>
      </c>
      <c r="T379" s="4">
        <v>272229</v>
      </c>
      <c r="U379" s="4">
        <v>952802</v>
      </c>
      <c r="V379" s="6">
        <f t="shared" si="10"/>
        <v>200088.41999999998</v>
      </c>
      <c r="W379" s="6">
        <f t="shared" si="11"/>
        <v>752713.58000000007</v>
      </c>
    </row>
    <row r="380" spans="1:23" x14ac:dyDescent="0.3">
      <c r="A380" s="2" t="s">
        <v>21</v>
      </c>
      <c r="B380" s="2">
        <v>11.013999999999999</v>
      </c>
      <c r="C380" s="2">
        <v>2000676989</v>
      </c>
      <c r="D380" s="2">
        <v>40.299999999999997</v>
      </c>
      <c r="E380" s="2"/>
      <c r="F380" s="2">
        <v>750</v>
      </c>
      <c r="G380" s="2">
        <v>1050</v>
      </c>
      <c r="H380" s="2"/>
      <c r="I380" s="2"/>
      <c r="J380" s="3">
        <f>IF(A380="Upgrade",IF(OR(H380=4,H380=5),VLOOKUP(I380,'Renewal Rates'!$A$22:$B$27,2,FALSE),2.7%),IF(A380="Renewal",100%,0%))</f>
        <v>2.7000000000000003E-2</v>
      </c>
      <c r="K380" s="2" t="s">
        <v>34</v>
      </c>
      <c r="L380" s="2">
        <v>377</v>
      </c>
      <c r="M380" s="2" t="s">
        <v>23</v>
      </c>
      <c r="N380" s="2" t="s">
        <v>24</v>
      </c>
      <c r="O380" s="4">
        <v>261497</v>
      </c>
      <c r="P380" s="4">
        <v>6487</v>
      </c>
      <c r="Q380" s="4">
        <v>88909</v>
      </c>
      <c r="R380" s="4">
        <v>350406</v>
      </c>
      <c r="S380" s="5">
        <v>0.4</v>
      </c>
      <c r="T380" s="4">
        <v>140162</v>
      </c>
      <c r="U380" s="4">
        <v>490568</v>
      </c>
      <c r="V380" s="6">
        <f t="shared" si="10"/>
        <v>13245.336000000001</v>
      </c>
      <c r="W380" s="6">
        <f t="shared" si="11"/>
        <v>477322.66399999999</v>
      </c>
    </row>
    <row r="381" spans="1:23" x14ac:dyDescent="0.3">
      <c r="A381" s="2" t="s">
        <v>21</v>
      </c>
      <c r="B381" s="2">
        <v>11.013999999999999</v>
      </c>
      <c r="C381" s="2">
        <v>2000850195</v>
      </c>
      <c r="D381" s="2">
        <v>70</v>
      </c>
      <c r="E381" s="2"/>
      <c r="F381" s="2">
        <v>750</v>
      </c>
      <c r="G381" s="2">
        <v>1050</v>
      </c>
      <c r="H381" s="2"/>
      <c r="I381" s="2"/>
      <c r="J381" s="3">
        <f>IF(A381="Upgrade",IF(OR(H381=4,H381=5),VLOOKUP(I381,'Renewal Rates'!$A$22:$B$27,2,FALSE),2.7%),IF(A381="Renewal",100%,0%))</f>
        <v>2.7000000000000003E-2</v>
      </c>
      <c r="K381" s="2" t="s">
        <v>34</v>
      </c>
      <c r="L381" s="2">
        <v>377</v>
      </c>
      <c r="M381" s="2" t="s">
        <v>23</v>
      </c>
      <c r="N381" s="2" t="s">
        <v>24</v>
      </c>
      <c r="O381" s="4">
        <v>473274</v>
      </c>
      <c r="P381" s="4">
        <v>6758</v>
      </c>
      <c r="Q381" s="4">
        <v>160913</v>
      </c>
      <c r="R381" s="4">
        <v>634187</v>
      </c>
      <c r="S381" s="5">
        <v>0.4</v>
      </c>
      <c r="T381" s="4">
        <v>253675</v>
      </c>
      <c r="U381" s="4">
        <v>887862</v>
      </c>
      <c r="V381" s="6">
        <f t="shared" si="10"/>
        <v>23972.274000000001</v>
      </c>
      <c r="W381" s="6">
        <f t="shared" si="11"/>
        <v>863889.72600000002</v>
      </c>
    </row>
    <row r="382" spans="1:23" x14ac:dyDescent="0.3">
      <c r="A382" s="2" t="s">
        <v>21</v>
      </c>
      <c r="B382" s="2">
        <v>11.013</v>
      </c>
      <c r="C382" s="2">
        <v>2000760262</v>
      </c>
      <c r="D382" s="2">
        <v>16.899999999999999</v>
      </c>
      <c r="E382" s="2"/>
      <c r="F382" s="2">
        <v>600</v>
      </c>
      <c r="G382" s="2">
        <v>975</v>
      </c>
      <c r="H382" s="2"/>
      <c r="I382" s="2"/>
      <c r="J382" s="3">
        <f>IF(A382="Upgrade",IF(OR(H382=4,H382=5),VLOOKUP(I382,'Renewal Rates'!$A$22:$B$27,2,FALSE),2.7%),IF(A382="Renewal",100%,0%))</f>
        <v>2.7000000000000003E-2</v>
      </c>
      <c r="K382" s="2" t="s">
        <v>34</v>
      </c>
      <c r="L382" s="2">
        <v>377</v>
      </c>
      <c r="M382" s="2" t="s">
        <v>23</v>
      </c>
      <c r="N382" s="2" t="s">
        <v>24</v>
      </c>
      <c r="O382" s="4">
        <v>143780</v>
      </c>
      <c r="P382" s="4">
        <v>8493</v>
      </c>
      <c r="Q382" s="4">
        <v>48885</v>
      </c>
      <c r="R382" s="4">
        <v>192665</v>
      </c>
      <c r="S382" s="5">
        <v>0.4</v>
      </c>
      <c r="T382" s="4">
        <v>77066</v>
      </c>
      <c r="U382" s="4">
        <v>269730</v>
      </c>
      <c r="V382" s="6">
        <f t="shared" si="10"/>
        <v>7282.7100000000009</v>
      </c>
      <c r="W382" s="6">
        <f t="shared" si="11"/>
        <v>262447.28999999998</v>
      </c>
    </row>
    <row r="383" spans="1:23" x14ac:dyDescent="0.3">
      <c r="A383" s="2" t="s">
        <v>21</v>
      </c>
      <c r="B383" s="2">
        <v>11.013</v>
      </c>
      <c r="C383" s="2">
        <v>2000008121</v>
      </c>
      <c r="D383" s="2">
        <v>49.9</v>
      </c>
      <c r="E383" s="2"/>
      <c r="F383" s="2">
        <v>600</v>
      </c>
      <c r="G383" s="2">
        <v>975</v>
      </c>
      <c r="H383" s="2"/>
      <c r="I383" s="2"/>
      <c r="J383" s="3">
        <f>IF(A383="Upgrade",IF(OR(H383=4,H383=5),VLOOKUP(I383,'Renewal Rates'!$A$22:$B$27,2,FALSE),2.7%),IF(A383="Renewal",100%,0%))</f>
        <v>2.7000000000000003E-2</v>
      </c>
      <c r="K383" s="2" t="s">
        <v>34</v>
      </c>
      <c r="L383" s="2">
        <v>377</v>
      </c>
      <c r="M383" s="2" t="s">
        <v>23</v>
      </c>
      <c r="N383" s="2" t="s">
        <v>24</v>
      </c>
      <c r="O383" s="4">
        <v>334752</v>
      </c>
      <c r="P383" s="4">
        <v>6705</v>
      </c>
      <c r="Q383" s="4">
        <v>113816</v>
      </c>
      <c r="R383" s="4">
        <v>448568</v>
      </c>
      <c r="S383" s="5">
        <v>0.4</v>
      </c>
      <c r="T383" s="4">
        <v>179427</v>
      </c>
      <c r="U383" s="4">
        <v>627995</v>
      </c>
      <c r="V383" s="6">
        <f t="shared" si="10"/>
        <v>16955.865000000002</v>
      </c>
      <c r="W383" s="6">
        <f t="shared" si="11"/>
        <v>611039.13500000001</v>
      </c>
    </row>
    <row r="384" spans="1:23" x14ac:dyDescent="0.3">
      <c r="A384" s="2" t="s">
        <v>21</v>
      </c>
      <c r="B384" s="2">
        <v>11.013</v>
      </c>
      <c r="C384" s="2">
        <v>2000635991</v>
      </c>
      <c r="D384" s="2">
        <v>26.4</v>
      </c>
      <c r="E384" s="2"/>
      <c r="F384" s="2">
        <v>600</v>
      </c>
      <c r="G384" s="2">
        <v>975</v>
      </c>
      <c r="H384" s="2"/>
      <c r="I384" s="2"/>
      <c r="J384" s="3">
        <f>IF(A384="Upgrade",IF(OR(H384=4,H384=5),VLOOKUP(I384,'Renewal Rates'!$A$22:$B$27,2,FALSE),2.7%),IF(A384="Renewal",100%,0%))</f>
        <v>2.7000000000000003E-2</v>
      </c>
      <c r="K384" s="2" t="s">
        <v>34</v>
      </c>
      <c r="L384" s="2">
        <v>377</v>
      </c>
      <c r="M384" s="2" t="s">
        <v>23</v>
      </c>
      <c r="N384" s="2" t="s">
        <v>24</v>
      </c>
      <c r="O384" s="4">
        <v>183971</v>
      </c>
      <c r="P384" s="4">
        <v>6979</v>
      </c>
      <c r="Q384" s="4">
        <v>62550</v>
      </c>
      <c r="R384" s="4">
        <v>246521</v>
      </c>
      <c r="S384" s="5">
        <v>0.4</v>
      </c>
      <c r="T384" s="4">
        <v>98608</v>
      </c>
      <c r="U384" s="4">
        <v>345129</v>
      </c>
      <c r="V384" s="6">
        <f t="shared" si="10"/>
        <v>9318.483000000002</v>
      </c>
      <c r="W384" s="6">
        <f t="shared" si="11"/>
        <v>335810.51699999999</v>
      </c>
    </row>
    <row r="385" spans="1:23" x14ac:dyDescent="0.3">
      <c r="A385" s="2" t="s">
        <v>21</v>
      </c>
      <c r="B385" s="2">
        <v>11.012</v>
      </c>
      <c r="C385" s="2">
        <v>2000926339</v>
      </c>
      <c r="D385" s="2">
        <v>42.9</v>
      </c>
      <c r="E385" s="2"/>
      <c r="F385" s="2">
        <v>600</v>
      </c>
      <c r="G385" s="2">
        <v>825</v>
      </c>
      <c r="H385" s="2"/>
      <c r="I385" s="2"/>
      <c r="J385" s="3">
        <f>IF(A385="Upgrade",IF(OR(H385=4,H385=5),VLOOKUP(I385,'Renewal Rates'!$A$22:$B$27,2,FALSE),2.7%),IF(A385="Renewal",100%,0%))</f>
        <v>2.7000000000000003E-2</v>
      </c>
      <c r="K385" s="2" t="s">
        <v>34</v>
      </c>
      <c r="L385" s="2">
        <v>377</v>
      </c>
      <c r="M385" s="2" t="s">
        <v>23</v>
      </c>
      <c r="N385" s="2" t="s">
        <v>24</v>
      </c>
      <c r="O385" s="4">
        <v>192253</v>
      </c>
      <c r="P385" s="4">
        <v>4478</v>
      </c>
      <c r="Q385" s="4">
        <v>65366</v>
      </c>
      <c r="R385" s="4">
        <v>257619</v>
      </c>
      <c r="S385" s="5">
        <v>0.4</v>
      </c>
      <c r="T385" s="4">
        <v>103048</v>
      </c>
      <c r="U385" s="4">
        <v>360667</v>
      </c>
      <c r="V385" s="6">
        <f t="shared" si="10"/>
        <v>9738.0090000000018</v>
      </c>
      <c r="W385" s="6">
        <f t="shared" si="11"/>
        <v>350928.99099999998</v>
      </c>
    </row>
    <row r="386" spans="1:23" x14ac:dyDescent="0.3">
      <c r="A386" s="2" t="s">
        <v>21</v>
      </c>
      <c r="B386" s="2">
        <v>11.012</v>
      </c>
      <c r="C386" s="2">
        <v>2000584847</v>
      </c>
      <c r="D386" s="2">
        <v>65</v>
      </c>
      <c r="E386" s="2"/>
      <c r="F386" s="2">
        <v>525</v>
      </c>
      <c r="G386" s="2">
        <v>825</v>
      </c>
      <c r="H386" s="2">
        <v>5</v>
      </c>
      <c r="I386" s="2">
        <v>4</v>
      </c>
      <c r="J386" s="3">
        <f>IF(A386="Upgrade",IF(OR(H386=4,H386=5),VLOOKUP(I386,'Renewal Rates'!$A$22:$B$27,2,FALSE),2.7%),IF(A386="Renewal",100%,0%))</f>
        <v>0.7</v>
      </c>
      <c r="K386" s="2" t="s">
        <v>34</v>
      </c>
      <c r="L386" s="2">
        <v>377</v>
      </c>
      <c r="M386" s="2" t="s">
        <v>23</v>
      </c>
      <c r="N386" s="2" t="s">
        <v>24</v>
      </c>
      <c r="O386" s="4">
        <v>308241</v>
      </c>
      <c r="P386" s="4">
        <v>4742</v>
      </c>
      <c r="Q386" s="4">
        <v>104802</v>
      </c>
      <c r="R386" s="4">
        <v>413043</v>
      </c>
      <c r="S386" s="5">
        <v>0.4</v>
      </c>
      <c r="T386" s="4">
        <v>165217</v>
      </c>
      <c r="U386" s="4">
        <v>578260</v>
      </c>
      <c r="V386" s="6">
        <f t="shared" si="10"/>
        <v>404782</v>
      </c>
      <c r="W386" s="6">
        <f t="shared" si="11"/>
        <v>173478</v>
      </c>
    </row>
    <row r="387" spans="1:23" x14ac:dyDescent="0.3">
      <c r="A387" s="2" t="s">
        <v>21</v>
      </c>
      <c r="B387" s="2">
        <v>11.01</v>
      </c>
      <c r="C387" s="2">
        <v>3000109664</v>
      </c>
      <c r="D387" s="2">
        <v>22.4</v>
      </c>
      <c r="E387" s="2"/>
      <c r="F387" s="2">
        <v>600</v>
      </c>
      <c r="G387" s="2">
        <v>525</v>
      </c>
      <c r="H387" s="2"/>
      <c r="I387" s="2"/>
      <c r="J387" s="3">
        <f>IF(A387="Upgrade",IF(OR(H387=4,H387=5),VLOOKUP(I387,'Renewal Rates'!$A$22:$B$27,2,FALSE),2.7%),IF(A387="Renewal",100%,0%))</f>
        <v>2.7000000000000003E-2</v>
      </c>
      <c r="K387" s="2" t="s">
        <v>22</v>
      </c>
      <c r="L387" s="2">
        <v>385</v>
      </c>
      <c r="M387" s="2" t="s">
        <v>23</v>
      </c>
      <c r="N387" s="2" t="s">
        <v>24</v>
      </c>
      <c r="O387" s="4">
        <v>82878</v>
      </c>
      <c r="P387" s="4">
        <v>3707</v>
      </c>
      <c r="Q387" s="4">
        <v>28179</v>
      </c>
      <c r="R387" s="4">
        <v>111057</v>
      </c>
      <c r="S387" s="5">
        <v>0.4</v>
      </c>
      <c r="T387" s="4">
        <v>44423</v>
      </c>
      <c r="U387" s="4">
        <v>155479</v>
      </c>
      <c r="V387" s="6">
        <f t="shared" ref="V387:V450" si="12">J387*U387</f>
        <v>4197.9330000000009</v>
      </c>
      <c r="W387" s="6">
        <f t="shared" ref="W387:W450" si="13">U387-V387</f>
        <v>151281.06700000001</v>
      </c>
    </row>
    <row r="388" spans="1:23" x14ac:dyDescent="0.3">
      <c r="A388" s="2" t="s">
        <v>21</v>
      </c>
      <c r="B388" s="2">
        <v>11.01</v>
      </c>
      <c r="C388" s="2">
        <v>3000109663</v>
      </c>
      <c r="D388" s="2">
        <v>5</v>
      </c>
      <c r="E388" s="2"/>
      <c r="F388" s="2">
        <v>450</v>
      </c>
      <c r="G388" s="2">
        <v>525</v>
      </c>
      <c r="H388" s="2">
        <v>5</v>
      </c>
      <c r="I388" s="2" t="s">
        <v>27</v>
      </c>
      <c r="J388" s="3">
        <f>IF(A388="Upgrade",IF(OR(H388=4,H388=5),VLOOKUP(I388,'Renewal Rates'!$A$22:$B$27,2,FALSE),2.7%),IF(A388="Renewal",100%,0%))</f>
        <v>0.116578</v>
      </c>
      <c r="K388" s="2" t="s">
        <v>22</v>
      </c>
      <c r="L388" s="2">
        <v>385</v>
      </c>
      <c r="M388" s="2" t="s">
        <v>23</v>
      </c>
      <c r="N388" s="2" t="s">
        <v>24</v>
      </c>
      <c r="O388" s="4">
        <v>48248</v>
      </c>
      <c r="P388" s="4">
        <v>9745</v>
      </c>
      <c r="Q388" s="4">
        <v>16404</v>
      </c>
      <c r="R388" s="4">
        <v>64652</v>
      </c>
      <c r="S388" s="5">
        <v>0.4</v>
      </c>
      <c r="T388" s="4">
        <v>25861</v>
      </c>
      <c r="U388" s="4">
        <v>90513</v>
      </c>
      <c r="V388" s="6">
        <f t="shared" si="12"/>
        <v>10551.824514</v>
      </c>
      <c r="W388" s="6">
        <f t="shared" si="13"/>
        <v>79961.175485999993</v>
      </c>
    </row>
    <row r="389" spans="1:23" x14ac:dyDescent="0.3">
      <c r="A389" s="2" t="s">
        <v>21</v>
      </c>
      <c r="B389" s="2">
        <v>11.01</v>
      </c>
      <c r="C389" s="2">
        <v>3000109662</v>
      </c>
      <c r="D389" s="2">
        <v>30.1</v>
      </c>
      <c r="E389" s="2"/>
      <c r="F389" s="2">
        <v>450</v>
      </c>
      <c r="G389" s="2">
        <v>525</v>
      </c>
      <c r="H389" s="2"/>
      <c r="I389" s="2"/>
      <c r="J389" s="3">
        <f>IF(A389="Upgrade",IF(OR(H389=4,H389=5),VLOOKUP(I389,'Renewal Rates'!$A$22:$B$27,2,FALSE),2.7%),IF(A389="Renewal",100%,0%))</f>
        <v>2.7000000000000003E-2</v>
      </c>
      <c r="K389" s="2" t="s">
        <v>22</v>
      </c>
      <c r="L389" s="2">
        <v>385</v>
      </c>
      <c r="M389" s="2" t="s">
        <v>23</v>
      </c>
      <c r="N389" s="2" t="s">
        <v>24</v>
      </c>
      <c r="O389" s="4">
        <v>109102</v>
      </c>
      <c r="P389" s="4">
        <v>3621</v>
      </c>
      <c r="Q389" s="4">
        <v>37095</v>
      </c>
      <c r="R389" s="4">
        <v>146197</v>
      </c>
      <c r="S389" s="5">
        <v>0.4</v>
      </c>
      <c r="T389" s="4">
        <v>58479</v>
      </c>
      <c r="U389" s="4">
        <v>204676</v>
      </c>
      <c r="V389" s="6">
        <f t="shared" si="12"/>
        <v>5526.2520000000004</v>
      </c>
      <c r="W389" s="6">
        <f t="shared" si="13"/>
        <v>199149.74799999999</v>
      </c>
    </row>
    <row r="390" spans="1:23" x14ac:dyDescent="0.3">
      <c r="A390" s="2" t="s">
        <v>21</v>
      </c>
      <c r="B390" s="2">
        <v>11.01</v>
      </c>
      <c r="C390" s="2">
        <v>3000109661</v>
      </c>
      <c r="D390" s="2">
        <v>22.6</v>
      </c>
      <c r="E390" s="2"/>
      <c r="F390" s="2">
        <v>300</v>
      </c>
      <c r="G390" s="2">
        <v>525</v>
      </c>
      <c r="H390" s="2"/>
      <c r="I390" s="2"/>
      <c r="J390" s="3">
        <f>IF(A390="Upgrade",IF(OR(H390=4,H390=5),VLOOKUP(I390,'Renewal Rates'!$A$22:$B$27,2,FALSE),2.7%),IF(A390="Renewal",100%,0%))</f>
        <v>2.7000000000000003E-2</v>
      </c>
      <c r="K390" s="2" t="s">
        <v>22</v>
      </c>
      <c r="L390" s="2">
        <v>385</v>
      </c>
      <c r="M390" s="2" t="s">
        <v>23</v>
      </c>
      <c r="N390" s="2" t="s">
        <v>24</v>
      </c>
      <c r="O390" s="4">
        <v>83065</v>
      </c>
      <c r="P390" s="4">
        <v>3681</v>
      </c>
      <c r="Q390" s="4">
        <v>28242</v>
      </c>
      <c r="R390" s="4">
        <v>111307</v>
      </c>
      <c r="S390" s="5">
        <v>0.4</v>
      </c>
      <c r="T390" s="4">
        <v>44523</v>
      </c>
      <c r="U390" s="4">
        <v>155830</v>
      </c>
      <c r="V390" s="6">
        <f t="shared" si="12"/>
        <v>4207.4100000000008</v>
      </c>
      <c r="W390" s="6">
        <f t="shared" si="13"/>
        <v>151622.59</v>
      </c>
    </row>
    <row r="391" spans="1:23" x14ac:dyDescent="0.3">
      <c r="A391" s="2" t="s">
        <v>21</v>
      </c>
      <c r="B391" s="2">
        <v>11.01</v>
      </c>
      <c r="C391" s="2">
        <v>3000109660</v>
      </c>
      <c r="D391" s="2">
        <v>35.700000000000003</v>
      </c>
      <c r="E391" s="2"/>
      <c r="F391" s="2">
        <v>225</v>
      </c>
      <c r="G391" s="2">
        <v>525</v>
      </c>
      <c r="H391" s="2"/>
      <c r="I391" s="2"/>
      <c r="J391" s="3">
        <f>IF(A391="Upgrade",IF(OR(H391=4,H391=5),VLOOKUP(I391,'Renewal Rates'!$A$22:$B$27,2,FALSE),2.7%),IF(A391="Renewal",100%,0%))</f>
        <v>2.7000000000000003E-2</v>
      </c>
      <c r="K391" s="2" t="s">
        <v>22</v>
      </c>
      <c r="L391" s="2">
        <v>385</v>
      </c>
      <c r="M391" s="2" t="s">
        <v>23</v>
      </c>
      <c r="N391" s="2" t="s">
        <v>24</v>
      </c>
      <c r="O391" s="4">
        <v>130351</v>
      </c>
      <c r="P391" s="4">
        <v>3651</v>
      </c>
      <c r="Q391" s="4">
        <v>44319</v>
      </c>
      <c r="R391" s="4">
        <v>174670</v>
      </c>
      <c r="S391" s="5">
        <v>0.4</v>
      </c>
      <c r="T391" s="4">
        <v>69868</v>
      </c>
      <c r="U391" s="4">
        <v>244538</v>
      </c>
      <c r="V391" s="6">
        <f t="shared" si="12"/>
        <v>6602.5260000000007</v>
      </c>
      <c r="W391" s="6">
        <f t="shared" si="13"/>
        <v>237935.47399999999</v>
      </c>
    </row>
    <row r="392" spans="1:23" x14ac:dyDescent="0.3">
      <c r="A392" s="2" t="s">
        <v>21</v>
      </c>
      <c r="B392" s="2">
        <v>11.010999999999999</v>
      </c>
      <c r="C392" s="2">
        <v>2000922511</v>
      </c>
      <c r="D392" s="2">
        <v>87.1</v>
      </c>
      <c r="E392" s="2"/>
      <c r="F392" s="2">
        <v>225</v>
      </c>
      <c r="G392" s="2">
        <v>675</v>
      </c>
      <c r="H392" s="2"/>
      <c r="I392" s="2"/>
      <c r="J392" s="3">
        <f>IF(A392="Upgrade",IF(OR(H392=4,H392=5),VLOOKUP(I392,'Renewal Rates'!$A$22:$B$27,2,FALSE),2.7%),IF(A392="Renewal",100%,0%))</f>
        <v>2.7000000000000003E-2</v>
      </c>
      <c r="K392" s="2" t="s">
        <v>34</v>
      </c>
      <c r="L392" s="2">
        <v>377</v>
      </c>
      <c r="M392" s="2" t="s">
        <v>23</v>
      </c>
      <c r="N392" s="2" t="s">
        <v>24</v>
      </c>
      <c r="O392" s="4">
        <v>334638</v>
      </c>
      <c r="P392" s="4">
        <v>3844</v>
      </c>
      <c r="Q392" s="4">
        <v>113777</v>
      </c>
      <c r="R392" s="4">
        <v>448415</v>
      </c>
      <c r="S392" s="5">
        <v>0.4</v>
      </c>
      <c r="T392" s="4">
        <v>179366</v>
      </c>
      <c r="U392" s="4">
        <v>627780</v>
      </c>
      <c r="V392" s="6">
        <f t="shared" si="12"/>
        <v>16950.060000000001</v>
      </c>
      <c r="W392" s="6">
        <f t="shared" si="13"/>
        <v>610829.93999999994</v>
      </c>
    </row>
    <row r="393" spans="1:23" x14ac:dyDescent="0.3">
      <c r="A393" s="2" t="s">
        <v>25</v>
      </c>
      <c r="B393" s="2">
        <v>11.003</v>
      </c>
      <c r="C393" s="2"/>
      <c r="D393" s="2"/>
      <c r="E393" s="2">
        <v>92.8</v>
      </c>
      <c r="F393" s="2"/>
      <c r="G393" s="2">
        <v>525</v>
      </c>
      <c r="H393" s="2"/>
      <c r="I393" s="2"/>
      <c r="J393" s="3">
        <f>IF(A393="Upgrade",IF(OR(H393=4,H393=5),VLOOKUP(I393,'Renewal Rates'!$A$22:$B$27,2,FALSE),2.7%),IF(A393="Renewal",100%,0%))</f>
        <v>0</v>
      </c>
      <c r="K393" s="2" t="s">
        <v>34</v>
      </c>
      <c r="L393" s="2">
        <v>377</v>
      </c>
      <c r="M393" s="2" t="s">
        <v>23</v>
      </c>
      <c r="N393" s="2" t="s">
        <v>24</v>
      </c>
      <c r="O393" s="4">
        <v>279844</v>
      </c>
      <c r="P393" s="4">
        <v>3017</v>
      </c>
      <c r="Q393" s="4">
        <v>95147</v>
      </c>
      <c r="R393" s="4">
        <v>374990</v>
      </c>
      <c r="S393" s="5">
        <v>0.4</v>
      </c>
      <c r="T393" s="4">
        <v>149996</v>
      </c>
      <c r="U393" s="4">
        <v>524987</v>
      </c>
      <c r="V393" s="6">
        <f t="shared" si="12"/>
        <v>0</v>
      </c>
      <c r="W393" s="6">
        <f t="shared" si="13"/>
        <v>524987</v>
      </c>
    </row>
    <row r="394" spans="1:23" x14ac:dyDescent="0.3">
      <c r="A394" s="2" t="s">
        <v>21</v>
      </c>
      <c r="B394" s="2">
        <v>11.037000000000001</v>
      </c>
      <c r="C394" s="2">
        <v>2000777385</v>
      </c>
      <c r="D394" s="2">
        <v>51</v>
      </c>
      <c r="E394" s="2"/>
      <c r="F394" s="2">
        <v>375</v>
      </c>
      <c r="G394" s="2">
        <v>450</v>
      </c>
      <c r="H394" s="2"/>
      <c r="I394" s="2"/>
      <c r="J394" s="3">
        <f>IF(A394="Upgrade",IF(OR(H394=4,H394=5),VLOOKUP(I394,'Renewal Rates'!$A$22:$B$27,2,FALSE),2.7%),IF(A394="Renewal",100%,0%))</f>
        <v>2.7000000000000003E-2</v>
      </c>
      <c r="K394" s="2" t="s">
        <v>22</v>
      </c>
      <c r="L394" s="2">
        <v>377</v>
      </c>
      <c r="M394" s="2" t="s">
        <v>23</v>
      </c>
      <c r="N394" s="2" t="s">
        <v>24</v>
      </c>
      <c r="O394" s="4">
        <v>174798</v>
      </c>
      <c r="P394" s="4">
        <v>3425</v>
      </c>
      <c r="Q394" s="4">
        <v>59431</v>
      </c>
      <c r="R394" s="4">
        <v>234229</v>
      </c>
      <c r="S394" s="5">
        <v>0.4</v>
      </c>
      <c r="T394" s="4">
        <v>93692</v>
      </c>
      <c r="U394" s="4">
        <v>327920</v>
      </c>
      <c r="V394" s="6">
        <f t="shared" si="12"/>
        <v>8853.84</v>
      </c>
      <c r="W394" s="6">
        <f t="shared" si="13"/>
        <v>319066.15999999997</v>
      </c>
    </row>
    <row r="395" spans="1:23" x14ac:dyDescent="0.3">
      <c r="A395" s="2" t="s">
        <v>21</v>
      </c>
      <c r="B395" s="2">
        <v>11.038</v>
      </c>
      <c r="C395" s="2">
        <v>2000056987</v>
      </c>
      <c r="D395" s="2">
        <v>44.9</v>
      </c>
      <c r="E395" s="2"/>
      <c r="F395" s="2">
        <v>375</v>
      </c>
      <c r="G395" s="2">
        <v>450</v>
      </c>
      <c r="H395" s="2"/>
      <c r="I395" s="2"/>
      <c r="J395" s="3">
        <f>IF(A395="Upgrade",IF(OR(H395=4,H395=5),VLOOKUP(I395,'Renewal Rates'!$A$22:$B$27,2,FALSE),2.7%),IF(A395="Renewal",100%,0%))</f>
        <v>2.7000000000000003E-2</v>
      </c>
      <c r="K395" s="2" t="s">
        <v>22</v>
      </c>
      <c r="L395" s="2">
        <v>377</v>
      </c>
      <c r="M395" s="2" t="s">
        <v>23</v>
      </c>
      <c r="N395" s="2" t="s">
        <v>24</v>
      </c>
      <c r="O395" s="4">
        <v>134698</v>
      </c>
      <c r="P395" s="4">
        <v>3001</v>
      </c>
      <c r="Q395" s="4">
        <v>45797</v>
      </c>
      <c r="R395" s="4">
        <v>180495</v>
      </c>
      <c r="S395" s="5">
        <v>0.4</v>
      </c>
      <c r="T395" s="4">
        <v>72198</v>
      </c>
      <c r="U395" s="4">
        <v>252694</v>
      </c>
      <c r="V395" s="6">
        <f t="shared" si="12"/>
        <v>6822.7380000000012</v>
      </c>
      <c r="W395" s="6">
        <f t="shared" si="13"/>
        <v>245871.26199999999</v>
      </c>
    </row>
    <row r="396" spans="1:23" x14ac:dyDescent="0.3">
      <c r="A396" s="2" t="s">
        <v>21</v>
      </c>
      <c r="B396" s="2">
        <v>11.036</v>
      </c>
      <c r="C396" s="2">
        <v>2000291419</v>
      </c>
      <c r="D396" s="2">
        <v>43</v>
      </c>
      <c r="E396" s="2"/>
      <c r="F396" s="2">
        <v>300</v>
      </c>
      <c r="G396" s="2">
        <v>300</v>
      </c>
      <c r="H396" s="2">
        <v>4</v>
      </c>
      <c r="I396" s="2">
        <v>1</v>
      </c>
      <c r="J396" s="3">
        <f>IF(A396="Upgrade",IF(OR(H396=4,H396=5),VLOOKUP(I396,'Renewal Rates'!$A$22:$B$27,2,FALSE),2.7%),IF(A396="Renewal",100%,0%))</f>
        <v>0</v>
      </c>
      <c r="K396" s="2" t="s">
        <v>22</v>
      </c>
      <c r="L396" s="2">
        <v>377</v>
      </c>
      <c r="M396" s="2" t="s">
        <v>23</v>
      </c>
      <c r="N396" s="2" t="s">
        <v>24</v>
      </c>
      <c r="O396" s="4">
        <v>88321</v>
      </c>
      <c r="P396" s="4">
        <v>2055</v>
      </c>
      <c r="Q396" s="4">
        <v>30029</v>
      </c>
      <c r="R396" s="4">
        <v>118350</v>
      </c>
      <c r="S396" s="5">
        <v>0.4</v>
      </c>
      <c r="T396" s="4">
        <v>47340</v>
      </c>
      <c r="U396" s="4">
        <v>165690</v>
      </c>
      <c r="V396" s="6">
        <f t="shared" si="12"/>
        <v>0</v>
      </c>
      <c r="W396" s="6">
        <f t="shared" si="13"/>
        <v>165690</v>
      </c>
    </row>
    <row r="397" spans="1:23" x14ac:dyDescent="0.3">
      <c r="A397" s="2" t="s">
        <v>21</v>
      </c>
      <c r="B397" s="2">
        <v>11.035</v>
      </c>
      <c r="C397" s="2">
        <v>2000103344</v>
      </c>
      <c r="D397" s="2">
        <v>30.9</v>
      </c>
      <c r="E397" s="2"/>
      <c r="F397" s="2">
        <v>225</v>
      </c>
      <c r="G397" s="2">
        <v>300</v>
      </c>
      <c r="H397" s="2"/>
      <c r="I397" s="2"/>
      <c r="J397" s="3">
        <f>IF(A397="Upgrade",IF(OR(H397=4,H397=5),VLOOKUP(I397,'Renewal Rates'!$A$22:$B$27,2,FALSE),2.7%),IF(A397="Renewal",100%,0%))</f>
        <v>2.7000000000000003E-2</v>
      </c>
      <c r="K397" s="2" t="s">
        <v>22</v>
      </c>
      <c r="L397" s="2">
        <v>377</v>
      </c>
      <c r="M397" s="2" t="s">
        <v>23</v>
      </c>
      <c r="N397" s="2" t="s">
        <v>24</v>
      </c>
      <c r="O397" s="4">
        <v>67358</v>
      </c>
      <c r="P397" s="4">
        <v>2180</v>
      </c>
      <c r="Q397" s="4">
        <v>22902</v>
      </c>
      <c r="R397" s="4">
        <v>90260</v>
      </c>
      <c r="S397" s="5">
        <v>0.4</v>
      </c>
      <c r="T397" s="4">
        <v>36104</v>
      </c>
      <c r="U397" s="4">
        <v>126363</v>
      </c>
      <c r="V397" s="6">
        <f t="shared" si="12"/>
        <v>3411.8010000000004</v>
      </c>
      <c r="W397" s="6">
        <f t="shared" si="13"/>
        <v>122951.19899999999</v>
      </c>
    </row>
    <row r="398" spans="1:23" x14ac:dyDescent="0.3">
      <c r="A398" s="2" t="s">
        <v>21</v>
      </c>
      <c r="B398" s="2">
        <v>11.035</v>
      </c>
      <c r="C398" s="2">
        <v>2000888800</v>
      </c>
      <c r="D398" s="2">
        <v>22.9</v>
      </c>
      <c r="E398" s="2"/>
      <c r="F398" s="2">
        <v>300</v>
      </c>
      <c r="G398" s="2">
        <v>300</v>
      </c>
      <c r="H398" s="2"/>
      <c r="I398" s="2"/>
      <c r="J398" s="3">
        <f>IF(A398="Upgrade",IF(OR(H398=4,H398=5),VLOOKUP(I398,'Renewal Rates'!$A$22:$B$27,2,FALSE),2.7%),IF(A398="Renewal",100%,0%))</f>
        <v>2.7000000000000003E-2</v>
      </c>
      <c r="K398" s="2" t="s">
        <v>22</v>
      </c>
      <c r="L398" s="2">
        <v>377</v>
      </c>
      <c r="M398" s="2" t="s">
        <v>23</v>
      </c>
      <c r="N398" s="2" t="s">
        <v>24</v>
      </c>
      <c r="O398" s="4">
        <v>50917</v>
      </c>
      <c r="P398" s="4">
        <v>2228</v>
      </c>
      <c r="Q398" s="4">
        <v>17312</v>
      </c>
      <c r="R398" s="4">
        <v>68229</v>
      </c>
      <c r="S398" s="5">
        <v>0.4</v>
      </c>
      <c r="T398" s="4">
        <v>27292</v>
      </c>
      <c r="U398" s="4">
        <v>95521</v>
      </c>
      <c r="V398" s="6">
        <f t="shared" si="12"/>
        <v>2579.0670000000005</v>
      </c>
      <c r="W398" s="6">
        <f t="shared" si="13"/>
        <v>92941.933000000005</v>
      </c>
    </row>
    <row r="399" spans="1:23" x14ac:dyDescent="0.3">
      <c r="A399" s="2" t="s">
        <v>21</v>
      </c>
      <c r="B399" s="2">
        <v>11.028</v>
      </c>
      <c r="C399" s="2">
        <v>2000268562</v>
      </c>
      <c r="D399" s="2">
        <v>79.2</v>
      </c>
      <c r="E399" s="2"/>
      <c r="F399" s="2">
        <v>300</v>
      </c>
      <c r="G399" s="2">
        <v>600</v>
      </c>
      <c r="H399" s="2"/>
      <c r="I399" s="2"/>
      <c r="J399" s="3">
        <f>IF(A399="Upgrade",IF(OR(H399=4,H399=5),VLOOKUP(I399,'Renewal Rates'!$A$22:$B$27,2,FALSE),2.7%),IF(A399="Renewal",100%,0%))</f>
        <v>2.7000000000000003E-2</v>
      </c>
      <c r="K399" s="2" t="s">
        <v>22</v>
      </c>
      <c r="L399" s="2">
        <v>377</v>
      </c>
      <c r="M399" s="2" t="s">
        <v>23</v>
      </c>
      <c r="N399" s="2" t="s">
        <v>24</v>
      </c>
      <c r="O399" s="4">
        <v>276741</v>
      </c>
      <c r="P399" s="4">
        <v>3496</v>
      </c>
      <c r="Q399" s="4">
        <v>94092</v>
      </c>
      <c r="R399" s="4">
        <v>370833</v>
      </c>
      <c r="S399" s="5">
        <v>0.4</v>
      </c>
      <c r="T399" s="4">
        <v>148333</v>
      </c>
      <c r="U399" s="4">
        <v>519166</v>
      </c>
      <c r="V399" s="6">
        <f t="shared" si="12"/>
        <v>14017.482000000002</v>
      </c>
      <c r="W399" s="6">
        <f t="shared" si="13"/>
        <v>505148.51799999998</v>
      </c>
    </row>
    <row r="400" spans="1:23" x14ac:dyDescent="0.3">
      <c r="A400" s="2" t="s">
        <v>21</v>
      </c>
      <c r="B400" s="2">
        <v>11.028</v>
      </c>
      <c r="C400" s="2">
        <v>2000253021</v>
      </c>
      <c r="D400" s="2">
        <v>16.100000000000001</v>
      </c>
      <c r="E400" s="2"/>
      <c r="F400" s="2">
        <v>225</v>
      </c>
      <c r="G400" s="2">
        <v>600</v>
      </c>
      <c r="H400" s="2"/>
      <c r="I400" s="2"/>
      <c r="J400" s="3">
        <f>IF(A400="Upgrade",IF(OR(H400=4,H400=5),VLOOKUP(I400,'Renewal Rates'!$A$22:$B$27,2,FALSE),2.7%),IF(A400="Renewal",100%,0%))</f>
        <v>2.7000000000000003E-2</v>
      </c>
      <c r="K400" s="2" t="s">
        <v>22</v>
      </c>
      <c r="L400" s="2">
        <v>377</v>
      </c>
      <c r="M400" s="2" t="s">
        <v>23</v>
      </c>
      <c r="N400" s="2" t="s">
        <v>24</v>
      </c>
      <c r="O400" s="4">
        <v>79588</v>
      </c>
      <c r="P400" s="4">
        <v>4931</v>
      </c>
      <c r="Q400" s="4">
        <v>27060</v>
      </c>
      <c r="R400" s="4">
        <v>106648</v>
      </c>
      <c r="S400" s="5">
        <v>0.4</v>
      </c>
      <c r="T400" s="4">
        <v>42659</v>
      </c>
      <c r="U400" s="4">
        <v>149308</v>
      </c>
      <c r="V400" s="6">
        <f t="shared" si="12"/>
        <v>4031.3160000000003</v>
      </c>
      <c r="W400" s="6">
        <f t="shared" si="13"/>
        <v>145276.68400000001</v>
      </c>
    </row>
    <row r="401" spans="1:23" x14ac:dyDescent="0.3">
      <c r="A401" s="2" t="s">
        <v>21</v>
      </c>
      <c r="B401" s="2">
        <v>11.032999999999999</v>
      </c>
      <c r="C401" s="2">
        <v>2000125336</v>
      </c>
      <c r="D401" s="2">
        <v>42.3</v>
      </c>
      <c r="E401" s="2"/>
      <c r="F401" s="2">
        <v>300</v>
      </c>
      <c r="G401" s="2">
        <v>450</v>
      </c>
      <c r="H401" s="2">
        <v>4</v>
      </c>
      <c r="I401" s="2">
        <v>1</v>
      </c>
      <c r="J401" s="3">
        <f>IF(A401="Upgrade",IF(OR(H401=4,H401=5),VLOOKUP(I401,'Renewal Rates'!$A$22:$B$27,2,FALSE),2.7%),IF(A401="Renewal",100%,0%))</f>
        <v>0</v>
      </c>
      <c r="K401" s="2" t="s">
        <v>22</v>
      </c>
      <c r="L401" s="2">
        <v>377</v>
      </c>
      <c r="M401" s="2" t="s">
        <v>23</v>
      </c>
      <c r="N401" s="2" t="s">
        <v>24</v>
      </c>
      <c r="O401" s="4">
        <v>129802</v>
      </c>
      <c r="P401" s="4">
        <v>3068</v>
      </c>
      <c r="Q401" s="4">
        <v>44133</v>
      </c>
      <c r="R401" s="4">
        <v>173935</v>
      </c>
      <c r="S401" s="5">
        <v>0.4</v>
      </c>
      <c r="T401" s="4">
        <v>69574</v>
      </c>
      <c r="U401" s="4">
        <v>243508</v>
      </c>
      <c r="V401" s="6">
        <f t="shared" si="12"/>
        <v>0</v>
      </c>
      <c r="W401" s="6">
        <f t="shared" si="13"/>
        <v>243508</v>
      </c>
    </row>
    <row r="402" spans="1:23" x14ac:dyDescent="0.3">
      <c r="A402" s="2" t="s">
        <v>21</v>
      </c>
      <c r="B402" s="2">
        <v>11.032999999999999</v>
      </c>
      <c r="C402" s="2">
        <v>2000472711</v>
      </c>
      <c r="D402" s="2">
        <v>33.5</v>
      </c>
      <c r="E402" s="2"/>
      <c r="F402" s="2">
        <v>375</v>
      </c>
      <c r="G402" s="2">
        <v>450</v>
      </c>
      <c r="H402" s="2"/>
      <c r="I402" s="2"/>
      <c r="J402" s="3">
        <f>IF(A402="Upgrade",IF(OR(H402=4,H402=5),VLOOKUP(I402,'Renewal Rates'!$A$22:$B$27,2,FALSE),2.7%),IF(A402="Renewal",100%,0%))</f>
        <v>2.7000000000000003E-2</v>
      </c>
      <c r="K402" s="2" t="s">
        <v>22</v>
      </c>
      <c r="L402" s="2">
        <v>377</v>
      </c>
      <c r="M402" s="2" t="s">
        <v>23</v>
      </c>
      <c r="N402" s="2" t="s">
        <v>24</v>
      </c>
      <c r="O402" s="4">
        <v>107141</v>
      </c>
      <c r="P402" s="4">
        <v>3199</v>
      </c>
      <c r="Q402" s="4">
        <v>36428</v>
      </c>
      <c r="R402" s="4">
        <v>143569</v>
      </c>
      <c r="S402" s="5">
        <v>0.4</v>
      </c>
      <c r="T402" s="4">
        <v>57428</v>
      </c>
      <c r="U402" s="4">
        <v>200996</v>
      </c>
      <c r="V402" s="6">
        <f t="shared" si="12"/>
        <v>5426.8920000000007</v>
      </c>
      <c r="W402" s="6">
        <f t="shared" si="13"/>
        <v>195569.10800000001</v>
      </c>
    </row>
    <row r="403" spans="1:23" x14ac:dyDescent="0.3">
      <c r="A403" s="2" t="s">
        <v>21</v>
      </c>
      <c r="B403" s="2">
        <v>11.034000000000001</v>
      </c>
      <c r="C403" s="2">
        <v>2000584120</v>
      </c>
      <c r="D403" s="2">
        <v>47.6</v>
      </c>
      <c r="E403" s="2"/>
      <c r="F403" s="2">
        <v>375</v>
      </c>
      <c r="G403" s="2">
        <v>450</v>
      </c>
      <c r="H403" s="2"/>
      <c r="I403" s="2"/>
      <c r="J403" s="3">
        <f>IF(A403="Upgrade",IF(OR(H403=4,H403=5),VLOOKUP(I403,'Renewal Rates'!$A$22:$B$27,2,FALSE),2.7%),IF(A403="Renewal",100%,0%))</f>
        <v>2.7000000000000003E-2</v>
      </c>
      <c r="K403" s="2" t="s">
        <v>22</v>
      </c>
      <c r="L403" s="2">
        <v>377</v>
      </c>
      <c r="M403" s="2" t="s">
        <v>23</v>
      </c>
      <c r="N403" s="2" t="s">
        <v>24</v>
      </c>
      <c r="O403" s="4">
        <v>136621</v>
      </c>
      <c r="P403" s="4">
        <v>2871</v>
      </c>
      <c r="Q403" s="4">
        <v>46451</v>
      </c>
      <c r="R403" s="4">
        <v>183072</v>
      </c>
      <c r="S403" s="5">
        <v>0.4</v>
      </c>
      <c r="T403" s="4">
        <v>73229</v>
      </c>
      <c r="U403" s="4">
        <v>256301</v>
      </c>
      <c r="V403" s="6">
        <f t="shared" si="12"/>
        <v>6920.1270000000004</v>
      </c>
      <c r="W403" s="6">
        <f t="shared" si="13"/>
        <v>249380.87299999999</v>
      </c>
    </row>
    <row r="404" spans="1:23" x14ac:dyDescent="0.3">
      <c r="A404" s="2" t="s">
        <v>21</v>
      </c>
      <c r="B404" s="2">
        <v>11.032</v>
      </c>
      <c r="C404" s="2">
        <v>2000165689</v>
      </c>
      <c r="D404" s="2">
        <v>23.8</v>
      </c>
      <c r="E404" s="2"/>
      <c r="F404" s="2">
        <v>525</v>
      </c>
      <c r="G404" s="2">
        <v>375</v>
      </c>
      <c r="H404" s="2">
        <v>5</v>
      </c>
      <c r="I404" s="2">
        <v>1</v>
      </c>
      <c r="J404" s="3">
        <f>IF(A404="Upgrade",IF(OR(H404=4,H404=5),VLOOKUP(I404,'Renewal Rates'!$A$22:$B$27,2,FALSE),2.7%),IF(A404="Renewal",100%,0%))</f>
        <v>0</v>
      </c>
      <c r="K404" s="2" t="s">
        <v>22</v>
      </c>
      <c r="L404" s="2">
        <v>377</v>
      </c>
      <c r="M404" s="2" t="s">
        <v>23</v>
      </c>
      <c r="N404" s="2" t="s">
        <v>24</v>
      </c>
      <c r="O404" s="4">
        <v>67828</v>
      </c>
      <c r="P404" s="4">
        <v>2855</v>
      </c>
      <c r="Q404" s="4">
        <v>23061</v>
      </c>
      <c r="R404" s="4">
        <v>90889</v>
      </c>
      <c r="S404" s="5">
        <v>0.4</v>
      </c>
      <c r="T404" s="4">
        <v>36356</v>
      </c>
      <c r="U404" s="4">
        <v>127245</v>
      </c>
      <c r="V404" s="6">
        <f t="shared" si="12"/>
        <v>0</v>
      </c>
      <c r="W404" s="6">
        <f t="shared" si="13"/>
        <v>127245</v>
      </c>
    </row>
    <row r="405" spans="1:23" x14ac:dyDescent="0.3">
      <c r="A405" s="2" t="s">
        <v>21</v>
      </c>
      <c r="B405" s="2">
        <v>11.032</v>
      </c>
      <c r="C405" s="2">
        <v>2000569940</v>
      </c>
      <c r="D405" s="2">
        <v>13.4</v>
      </c>
      <c r="E405" s="2"/>
      <c r="F405" s="2">
        <v>300</v>
      </c>
      <c r="G405" s="2">
        <v>375</v>
      </c>
      <c r="H405" s="2"/>
      <c r="I405" s="2"/>
      <c r="J405" s="3">
        <f>IF(A405="Upgrade",IF(OR(H405=4,H405=5),VLOOKUP(I405,'Renewal Rates'!$A$22:$B$27,2,FALSE),2.7%),IF(A405="Renewal",100%,0%))</f>
        <v>2.7000000000000003E-2</v>
      </c>
      <c r="K405" s="2" t="s">
        <v>22</v>
      </c>
      <c r="L405" s="2">
        <v>377</v>
      </c>
      <c r="M405" s="2" t="s">
        <v>23</v>
      </c>
      <c r="N405" s="2" t="s">
        <v>24</v>
      </c>
      <c r="O405" s="4">
        <v>45929</v>
      </c>
      <c r="P405" s="4">
        <v>3417</v>
      </c>
      <c r="Q405" s="4">
        <v>15616</v>
      </c>
      <c r="R405" s="4">
        <v>61545</v>
      </c>
      <c r="S405" s="5">
        <v>0.4</v>
      </c>
      <c r="T405" s="4">
        <v>24618</v>
      </c>
      <c r="U405" s="4">
        <v>86163</v>
      </c>
      <c r="V405" s="6">
        <f t="shared" si="12"/>
        <v>2326.4010000000003</v>
      </c>
      <c r="W405" s="6">
        <f t="shared" si="13"/>
        <v>83836.599000000002</v>
      </c>
    </row>
    <row r="406" spans="1:23" x14ac:dyDescent="0.3">
      <c r="A406" s="2" t="s">
        <v>21</v>
      </c>
      <c r="B406" s="2">
        <v>11.032</v>
      </c>
      <c r="C406" s="2">
        <v>2000134129</v>
      </c>
      <c r="D406" s="2">
        <v>18.5</v>
      </c>
      <c r="E406" s="2"/>
      <c r="F406" s="2">
        <v>300</v>
      </c>
      <c r="G406" s="2">
        <v>375</v>
      </c>
      <c r="H406" s="2"/>
      <c r="I406" s="2"/>
      <c r="J406" s="3">
        <f>IF(A406="Upgrade",IF(OR(H406=4,H406=5),VLOOKUP(I406,'Renewal Rates'!$A$22:$B$27,2,FALSE),2.7%),IF(A406="Renewal",100%,0%))</f>
        <v>2.7000000000000003E-2</v>
      </c>
      <c r="K406" s="2" t="s">
        <v>22</v>
      </c>
      <c r="L406" s="2">
        <v>377</v>
      </c>
      <c r="M406" s="2" t="s">
        <v>23</v>
      </c>
      <c r="N406" s="2" t="s">
        <v>24</v>
      </c>
      <c r="O406" s="4">
        <v>64900</v>
      </c>
      <c r="P406" s="4">
        <v>3514</v>
      </c>
      <c r="Q406" s="4">
        <v>22066</v>
      </c>
      <c r="R406" s="4">
        <v>86966</v>
      </c>
      <c r="S406" s="5">
        <v>0.4</v>
      </c>
      <c r="T406" s="4">
        <v>34786</v>
      </c>
      <c r="U406" s="4">
        <v>121752</v>
      </c>
      <c r="V406" s="6">
        <f t="shared" si="12"/>
        <v>3287.3040000000005</v>
      </c>
      <c r="W406" s="6">
        <f t="shared" si="13"/>
        <v>118464.696</v>
      </c>
    </row>
    <row r="407" spans="1:23" x14ac:dyDescent="0.3">
      <c r="A407" s="2" t="s">
        <v>25</v>
      </c>
      <c r="B407" s="2">
        <v>12.000999999999999</v>
      </c>
      <c r="C407" s="2"/>
      <c r="D407" s="2"/>
      <c r="E407" s="2">
        <v>111.9</v>
      </c>
      <c r="F407" s="2"/>
      <c r="G407" s="2">
        <v>600</v>
      </c>
      <c r="H407" s="2"/>
      <c r="I407" s="2"/>
      <c r="J407" s="3">
        <f>IF(A407="Upgrade",IF(OR(H407=4,H407=5),VLOOKUP(I407,'Renewal Rates'!$A$22:$B$27,2,FALSE),2.7%),IF(A407="Renewal",100%,0%))</f>
        <v>0</v>
      </c>
      <c r="K407" s="2" t="s">
        <v>22</v>
      </c>
      <c r="L407" s="2">
        <v>385</v>
      </c>
      <c r="M407" s="2" t="s">
        <v>23</v>
      </c>
      <c r="N407" s="2" t="s">
        <v>24</v>
      </c>
      <c r="O407" s="4">
        <v>387355</v>
      </c>
      <c r="P407" s="4">
        <v>3461</v>
      </c>
      <c r="Q407" s="4">
        <v>131701</v>
      </c>
      <c r="R407" s="4">
        <v>519055</v>
      </c>
      <c r="S407" s="5">
        <v>0.4</v>
      </c>
      <c r="T407" s="4">
        <v>207622</v>
      </c>
      <c r="U407" s="4">
        <v>726677</v>
      </c>
      <c r="V407" s="6">
        <f t="shared" si="12"/>
        <v>0</v>
      </c>
      <c r="W407" s="6">
        <f t="shared" si="13"/>
        <v>726677</v>
      </c>
    </row>
    <row r="408" spans="1:23" x14ac:dyDescent="0.3">
      <c r="A408" s="2" t="s">
        <v>21</v>
      </c>
      <c r="B408" s="2">
        <v>12.018000000000001</v>
      </c>
      <c r="C408" s="2">
        <v>2000684720</v>
      </c>
      <c r="D408" s="2">
        <v>42.6</v>
      </c>
      <c r="E408" s="2"/>
      <c r="F408" s="2">
        <v>450</v>
      </c>
      <c r="G408" s="2">
        <v>600</v>
      </c>
      <c r="H408" s="2"/>
      <c r="I408" s="2"/>
      <c r="J408" s="3">
        <f>IF(A408="Upgrade",IF(OR(H408=4,H408=5),VLOOKUP(I408,'Renewal Rates'!$A$22:$B$27,2,FALSE),2.7%),IF(A408="Renewal",100%,0%))</f>
        <v>2.7000000000000003E-2</v>
      </c>
      <c r="K408" s="2" t="s">
        <v>22</v>
      </c>
      <c r="L408" s="2">
        <v>377</v>
      </c>
      <c r="M408" s="2" t="s">
        <v>23</v>
      </c>
      <c r="N408" s="2" t="s">
        <v>24</v>
      </c>
      <c r="O408" s="4">
        <v>145862</v>
      </c>
      <c r="P408" s="4">
        <v>3421</v>
      </c>
      <c r="Q408" s="4">
        <v>49593</v>
      </c>
      <c r="R408" s="4">
        <v>195454</v>
      </c>
      <c r="S408" s="5">
        <v>0.4</v>
      </c>
      <c r="T408" s="4">
        <v>78182</v>
      </c>
      <c r="U408" s="4">
        <v>273636</v>
      </c>
      <c r="V408" s="6">
        <f t="shared" si="12"/>
        <v>7388.1720000000005</v>
      </c>
      <c r="W408" s="6">
        <f t="shared" si="13"/>
        <v>266247.82799999998</v>
      </c>
    </row>
    <row r="409" spans="1:23" x14ac:dyDescent="0.3">
      <c r="A409" s="2" t="s">
        <v>21</v>
      </c>
      <c r="B409" s="2">
        <v>12.018000000000001</v>
      </c>
      <c r="C409" s="2">
        <v>2000488560</v>
      </c>
      <c r="D409" s="2">
        <v>13.7</v>
      </c>
      <c r="E409" s="2"/>
      <c r="F409" s="2">
        <v>450</v>
      </c>
      <c r="G409" s="2">
        <v>600</v>
      </c>
      <c r="H409" s="2"/>
      <c r="I409" s="2"/>
      <c r="J409" s="3">
        <f>IF(A409="Upgrade",IF(OR(H409=4,H409=5),VLOOKUP(I409,'Renewal Rates'!$A$22:$B$27,2,FALSE),2.7%),IF(A409="Renewal",100%,0%))</f>
        <v>2.7000000000000003E-2</v>
      </c>
      <c r="K409" s="2" t="s">
        <v>22</v>
      </c>
      <c r="L409" s="2">
        <v>377</v>
      </c>
      <c r="M409" s="2" t="s">
        <v>23</v>
      </c>
      <c r="N409" s="2" t="s">
        <v>24</v>
      </c>
      <c r="O409" s="4">
        <v>77031</v>
      </c>
      <c r="P409" s="4">
        <v>5636</v>
      </c>
      <c r="Q409" s="4">
        <v>26191</v>
      </c>
      <c r="R409" s="4">
        <v>103222</v>
      </c>
      <c r="S409" s="5">
        <v>0.4</v>
      </c>
      <c r="T409" s="4">
        <v>41289</v>
      </c>
      <c r="U409" s="4">
        <v>144510</v>
      </c>
      <c r="V409" s="6">
        <f t="shared" si="12"/>
        <v>3901.7700000000004</v>
      </c>
      <c r="W409" s="6">
        <f t="shared" si="13"/>
        <v>140608.23000000001</v>
      </c>
    </row>
    <row r="410" spans="1:23" x14ac:dyDescent="0.3">
      <c r="A410" s="2" t="s">
        <v>21</v>
      </c>
      <c r="B410" s="2">
        <v>12.018000000000001</v>
      </c>
      <c r="C410" s="2">
        <v>2000684720</v>
      </c>
      <c r="D410" s="2">
        <v>42.6</v>
      </c>
      <c r="E410" s="2"/>
      <c r="F410" s="2">
        <v>450</v>
      </c>
      <c r="G410" s="2">
        <v>600</v>
      </c>
      <c r="H410" s="2"/>
      <c r="I410" s="2"/>
      <c r="J410" s="3">
        <f>IF(A410="Upgrade",IF(OR(H410=4,H410=5),VLOOKUP(I410,'Renewal Rates'!$A$22:$B$27,2,FALSE),2.7%),IF(A410="Renewal",100%,0%))</f>
        <v>2.7000000000000003E-2</v>
      </c>
      <c r="K410" s="2" t="s">
        <v>22</v>
      </c>
      <c r="L410" s="2">
        <v>377</v>
      </c>
      <c r="M410" s="2" t="s">
        <v>23</v>
      </c>
      <c r="N410" s="2" t="s">
        <v>24</v>
      </c>
      <c r="O410" s="4">
        <v>162242</v>
      </c>
      <c r="P410" s="4">
        <v>3806</v>
      </c>
      <c r="Q410" s="4">
        <v>55162</v>
      </c>
      <c r="R410" s="4">
        <v>217404</v>
      </c>
      <c r="S410" s="5">
        <v>0.4</v>
      </c>
      <c r="T410" s="4">
        <v>86961</v>
      </c>
      <c r="U410" s="4">
        <v>304365</v>
      </c>
      <c r="V410" s="6">
        <f t="shared" si="12"/>
        <v>8217.8550000000014</v>
      </c>
      <c r="W410" s="6">
        <f t="shared" si="13"/>
        <v>296147.14500000002</v>
      </c>
    </row>
    <row r="411" spans="1:23" x14ac:dyDescent="0.3">
      <c r="A411" s="2" t="s">
        <v>21</v>
      </c>
      <c r="B411" s="2">
        <v>12.018000000000001</v>
      </c>
      <c r="C411" s="2">
        <v>2000759958</v>
      </c>
      <c r="D411" s="2">
        <v>19</v>
      </c>
      <c r="E411" s="2"/>
      <c r="F411" s="2">
        <v>525</v>
      </c>
      <c r="G411" s="2">
        <v>600</v>
      </c>
      <c r="H411" s="2"/>
      <c r="I411" s="2"/>
      <c r="J411" s="3">
        <f>IF(A411="Upgrade",IF(OR(H411=4,H411=5),VLOOKUP(I411,'Renewal Rates'!$A$22:$B$27,2,FALSE),2.7%),IF(A411="Renewal",100%,0%))</f>
        <v>2.7000000000000003E-2</v>
      </c>
      <c r="K411" s="2" t="s">
        <v>22</v>
      </c>
      <c r="L411" s="2">
        <v>377</v>
      </c>
      <c r="M411" s="2" t="s">
        <v>23</v>
      </c>
      <c r="N411" s="2" t="s">
        <v>24</v>
      </c>
      <c r="O411" s="4">
        <v>82585</v>
      </c>
      <c r="P411" s="4">
        <v>4338</v>
      </c>
      <c r="Q411" s="4">
        <v>28079</v>
      </c>
      <c r="R411" s="4">
        <v>110664</v>
      </c>
      <c r="S411" s="5">
        <v>0.4</v>
      </c>
      <c r="T411" s="4">
        <v>44265</v>
      </c>
      <c r="U411" s="4">
        <v>154929</v>
      </c>
      <c r="V411" s="6">
        <f t="shared" si="12"/>
        <v>4183.0830000000005</v>
      </c>
      <c r="W411" s="6">
        <f t="shared" si="13"/>
        <v>150745.91699999999</v>
      </c>
    </row>
    <row r="412" spans="1:23" x14ac:dyDescent="0.3">
      <c r="A412" s="2" t="s">
        <v>21</v>
      </c>
      <c r="B412" s="2">
        <v>12.016999999999999</v>
      </c>
      <c r="C412" s="2">
        <v>2000506464</v>
      </c>
      <c r="D412" s="2">
        <v>28</v>
      </c>
      <c r="E412" s="2"/>
      <c r="F412" s="2">
        <v>225</v>
      </c>
      <c r="G412" s="2">
        <v>375</v>
      </c>
      <c r="H412" s="2"/>
      <c r="I412" s="2"/>
      <c r="J412" s="3">
        <f>IF(A412="Upgrade",IF(OR(H412=4,H412=5),VLOOKUP(I412,'Renewal Rates'!$A$22:$B$27,2,FALSE),2.7%),IF(A412="Renewal",100%,0%))</f>
        <v>2.7000000000000003E-2</v>
      </c>
      <c r="K412" s="2" t="s">
        <v>22</v>
      </c>
      <c r="L412" s="2">
        <v>377</v>
      </c>
      <c r="M412" s="2" t="s">
        <v>23</v>
      </c>
      <c r="N412" s="2" t="s">
        <v>24</v>
      </c>
      <c r="O412" s="4">
        <v>70176</v>
      </c>
      <c r="P412" s="4">
        <v>2506</v>
      </c>
      <c r="Q412" s="4">
        <v>23860</v>
      </c>
      <c r="R412" s="4">
        <v>94036</v>
      </c>
      <c r="S412" s="5">
        <v>0.4</v>
      </c>
      <c r="T412" s="4">
        <v>37614</v>
      </c>
      <c r="U412" s="4">
        <v>131650</v>
      </c>
      <c r="V412" s="6">
        <f t="shared" si="12"/>
        <v>3554.5500000000006</v>
      </c>
      <c r="W412" s="6">
        <f t="shared" si="13"/>
        <v>128095.45</v>
      </c>
    </row>
    <row r="413" spans="1:23" x14ac:dyDescent="0.3">
      <c r="A413" s="2" t="s">
        <v>21</v>
      </c>
      <c r="B413" s="2">
        <v>12.016</v>
      </c>
      <c r="C413" s="2">
        <v>2000251726</v>
      </c>
      <c r="D413" s="2">
        <v>45.9</v>
      </c>
      <c r="E413" s="2"/>
      <c r="F413" s="2">
        <v>375</v>
      </c>
      <c r="G413" s="2">
        <v>450</v>
      </c>
      <c r="H413" s="2"/>
      <c r="I413" s="2"/>
      <c r="J413" s="3">
        <f>IF(A413="Upgrade",IF(OR(H413=4,H413=5),VLOOKUP(I413,'Renewal Rates'!$A$22:$B$27,2,FALSE),2.7%),IF(A413="Renewal",100%,0%))</f>
        <v>2.7000000000000003E-2</v>
      </c>
      <c r="K413" s="2" t="s">
        <v>22</v>
      </c>
      <c r="L413" s="2">
        <v>377</v>
      </c>
      <c r="M413" s="2" t="s">
        <v>23</v>
      </c>
      <c r="N413" s="2" t="s">
        <v>24</v>
      </c>
      <c r="O413" s="4">
        <v>135393</v>
      </c>
      <c r="P413" s="4">
        <v>2952</v>
      </c>
      <c r="Q413" s="4">
        <v>46034</v>
      </c>
      <c r="R413" s="4">
        <v>181427</v>
      </c>
      <c r="S413" s="5">
        <v>0.4</v>
      </c>
      <c r="T413" s="4">
        <v>72571</v>
      </c>
      <c r="U413" s="4">
        <v>253997</v>
      </c>
      <c r="V413" s="6">
        <f t="shared" si="12"/>
        <v>6857.9190000000008</v>
      </c>
      <c r="W413" s="6">
        <f t="shared" si="13"/>
        <v>247139.08100000001</v>
      </c>
    </row>
    <row r="414" spans="1:23" x14ac:dyDescent="0.3">
      <c r="A414" s="2" t="s">
        <v>21</v>
      </c>
      <c r="B414" s="2">
        <v>12.013999999999999</v>
      </c>
      <c r="C414" s="2">
        <v>2000565876</v>
      </c>
      <c r="D414" s="2">
        <v>51</v>
      </c>
      <c r="E414" s="2"/>
      <c r="F414" s="2">
        <v>300</v>
      </c>
      <c r="G414" s="2">
        <v>825</v>
      </c>
      <c r="H414" s="2">
        <v>4</v>
      </c>
      <c r="I414" s="2">
        <v>2</v>
      </c>
      <c r="J414" s="3">
        <f>IF(A414="Upgrade",IF(OR(H414=4,H414=5),VLOOKUP(I414,'Renewal Rates'!$A$22:$B$27,2,FALSE),2.7%),IF(A414="Renewal",100%,0%))</f>
        <v>0</v>
      </c>
      <c r="K414" s="2" t="s">
        <v>22</v>
      </c>
      <c r="L414" s="2">
        <v>377</v>
      </c>
      <c r="M414" s="2" t="s">
        <v>23</v>
      </c>
      <c r="N414" s="2" t="s">
        <v>24</v>
      </c>
      <c r="O414" s="4">
        <v>248075</v>
      </c>
      <c r="P414" s="4">
        <v>4861</v>
      </c>
      <c r="Q414" s="4">
        <v>84346</v>
      </c>
      <c r="R414" s="4">
        <v>332421</v>
      </c>
      <c r="S414" s="5">
        <v>0.4</v>
      </c>
      <c r="T414" s="4">
        <v>132968</v>
      </c>
      <c r="U414" s="4">
        <v>465389</v>
      </c>
      <c r="V414" s="6">
        <f t="shared" si="12"/>
        <v>0</v>
      </c>
      <c r="W414" s="6">
        <f t="shared" si="13"/>
        <v>465389</v>
      </c>
    </row>
    <row r="415" spans="1:23" x14ac:dyDescent="0.3">
      <c r="A415" s="2" t="s">
        <v>21</v>
      </c>
      <c r="B415" s="2">
        <v>12.013999999999999</v>
      </c>
      <c r="C415" s="2">
        <v>2000021304</v>
      </c>
      <c r="D415" s="2">
        <v>47.6</v>
      </c>
      <c r="E415" s="2"/>
      <c r="F415" s="2">
        <v>225</v>
      </c>
      <c r="G415" s="2">
        <v>825</v>
      </c>
      <c r="H415" s="2"/>
      <c r="I415" s="2"/>
      <c r="J415" s="3">
        <f>IF(A415="Upgrade",IF(OR(H415=4,H415=5),VLOOKUP(I415,'Renewal Rates'!$A$22:$B$27,2,FALSE),2.7%),IF(A415="Renewal",100%,0%))</f>
        <v>2.7000000000000003E-2</v>
      </c>
      <c r="K415" s="2" t="s">
        <v>22</v>
      </c>
      <c r="L415" s="2">
        <v>377</v>
      </c>
      <c r="M415" s="2" t="s">
        <v>23</v>
      </c>
      <c r="N415" s="2" t="s">
        <v>24</v>
      </c>
      <c r="O415" s="4">
        <v>218825</v>
      </c>
      <c r="P415" s="4">
        <v>4596</v>
      </c>
      <c r="Q415" s="4">
        <v>74401</v>
      </c>
      <c r="R415" s="4">
        <v>293226</v>
      </c>
      <c r="S415" s="5">
        <v>0.4</v>
      </c>
      <c r="T415" s="4">
        <v>117290</v>
      </c>
      <c r="U415" s="4">
        <v>410516</v>
      </c>
      <c r="V415" s="6">
        <f t="shared" si="12"/>
        <v>11083.932000000001</v>
      </c>
      <c r="W415" s="6">
        <f t="shared" si="13"/>
        <v>399432.06799999997</v>
      </c>
    </row>
    <row r="416" spans="1:23" x14ac:dyDescent="0.3">
      <c r="A416" s="2" t="s">
        <v>21</v>
      </c>
      <c r="B416" s="2">
        <v>15.009</v>
      </c>
      <c r="C416" s="2">
        <v>2000197771</v>
      </c>
      <c r="D416" s="2">
        <v>37.4</v>
      </c>
      <c r="E416" s="2"/>
      <c r="F416" s="2">
        <v>1500</v>
      </c>
      <c r="G416" s="2">
        <v>1650</v>
      </c>
      <c r="H416" s="2">
        <v>4</v>
      </c>
      <c r="I416" s="2">
        <v>2</v>
      </c>
      <c r="J416" s="3">
        <f>IF(A416="Upgrade",IF(OR(H416=4,H416=5),VLOOKUP(I416,'Renewal Rates'!$A$22:$B$27,2,FALSE),2.7%),IF(A416="Renewal",100%,0%))</f>
        <v>0</v>
      </c>
      <c r="K416" s="2" t="s">
        <v>22</v>
      </c>
      <c r="L416" s="2">
        <v>377</v>
      </c>
      <c r="M416" s="2" t="s">
        <v>23</v>
      </c>
      <c r="N416" s="2" t="s">
        <v>24</v>
      </c>
      <c r="O416" s="4">
        <v>354904</v>
      </c>
      <c r="P416" s="4">
        <v>9499</v>
      </c>
      <c r="Q416" s="4">
        <v>120668</v>
      </c>
      <c r="R416" s="4">
        <v>475572</v>
      </c>
      <c r="S416" s="5">
        <v>0.4</v>
      </c>
      <c r="T416" s="4">
        <v>190229</v>
      </c>
      <c r="U416" s="4">
        <v>665801</v>
      </c>
      <c r="V416" s="6">
        <f t="shared" si="12"/>
        <v>0</v>
      </c>
      <c r="W416" s="6">
        <f t="shared" si="13"/>
        <v>665801</v>
      </c>
    </row>
    <row r="417" spans="1:23" x14ac:dyDescent="0.3">
      <c r="A417" s="2" t="s">
        <v>21</v>
      </c>
      <c r="B417" s="2">
        <v>15.009</v>
      </c>
      <c r="C417" s="2">
        <v>2000832027</v>
      </c>
      <c r="D417" s="2">
        <v>20</v>
      </c>
      <c r="E417" s="2"/>
      <c r="F417" s="2">
        <v>1200</v>
      </c>
      <c r="G417" s="2">
        <v>1650</v>
      </c>
      <c r="H417" s="2">
        <v>4</v>
      </c>
      <c r="I417" s="2">
        <v>1</v>
      </c>
      <c r="J417" s="3">
        <f>IF(A417="Upgrade",IF(OR(H417=4,H417=5),VLOOKUP(I417,'Renewal Rates'!$A$22:$B$27,2,FALSE),2.7%),IF(A417="Renewal",100%,0%))</f>
        <v>0</v>
      </c>
      <c r="K417" s="2" t="s">
        <v>22</v>
      </c>
      <c r="L417" s="2">
        <v>377</v>
      </c>
      <c r="M417" s="2" t="s">
        <v>23</v>
      </c>
      <c r="N417" s="2" t="s">
        <v>24</v>
      </c>
      <c r="O417" s="4">
        <v>205154</v>
      </c>
      <c r="P417" s="4">
        <v>10260</v>
      </c>
      <c r="Q417" s="4">
        <v>69752</v>
      </c>
      <c r="R417" s="4">
        <v>274907</v>
      </c>
      <c r="S417" s="5">
        <v>0.4</v>
      </c>
      <c r="T417" s="4">
        <v>109963</v>
      </c>
      <c r="U417" s="4">
        <v>384869</v>
      </c>
      <c r="V417" s="6">
        <f t="shared" si="12"/>
        <v>0</v>
      </c>
      <c r="W417" s="6">
        <f t="shared" si="13"/>
        <v>384869</v>
      </c>
    </row>
    <row r="418" spans="1:23" x14ac:dyDescent="0.3">
      <c r="A418" s="2" t="s">
        <v>21</v>
      </c>
      <c r="B418" s="2">
        <v>12.009</v>
      </c>
      <c r="C418" s="2">
        <v>2000421685</v>
      </c>
      <c r="D418" s="2">
        <v>21.1</v>
      </c>
      <c r="E418" s="2"/>
      <c r="F418" s="2">
        <v>1200</v>
      </c>
      <c r="G418" s="2">
        <v>1650</v>
      </c>
      <c r="H418" s="2">
        <v>4</v>
      </c>
      <c r="I418" s="2">
        <v>2</v>
      </c>
      <c r="J418" s="3">
        <f>IF(A418="Upgrade",IF(OR(H418=4,H418=5),VLOOKUP(I418,'Renewal Rates'!$A$22:$B$27,2,FALSE),2.7%),IF(A418="Renewal",100%,0%))</f>
        <v>0</v>
      </c>
      <c r="K418" s="2" t="s">
        <v>22</v>
      </c>
      <c r="L418" s="2">
        <v>377</v>
      </c>
      <c r="M418" s="2" t="s">
        <v>23</v>
      </c>
      <c r="N418" s="2" t="s">
        <v>24</v>
      </c>
      <c r="O418" s="4">
        <v>666120</v>
      </c>
      <c r="P418" s="4">
        <v>9489</v>
      </c>
      <c r="Q418" s="4">
        <v>226481</v>
      </c>
      <c r="R418" s="4">
        <v>892601</v>
      </c>
      <c r="S418" s="5">
        <v>0.4</v>
      </c>
      <c r="T418" s="4">
        <v>357041</v>
      </c>
      <c r="U418" s="4">
        <v>1249642</v>
      </c>
      <c r="V418" s="6">
        <f t="shared" si="12"/>
        <v>0</v>
      </c>
      <c r="W418" s="6">
        <f t="shared" si="13"/>
        <v>1249642</v>
      </c>
    </row>
    <row r="419" spans="1:23" x14ac:dyDescent="0.3">
      <c r="A419" s="2" t="s">
        <v>21</v>
      </c>
      <c r="B419" s="2">
        <v>12.007999999999999</v>
      </c>
      <c r="C419" s="2">
        <v>2000421685</v>
      </c>
      <c r="D419" s="2">
        <v>49.1</v>
      </c>
      <c r="E419" s="2"/>
      <c r="F419" s="2">
        <v>1200</v>
      </c>
      <c r="G419" s="2">
        <v>1650</v>
      </c>
      <c r="H419" s="2">
        <v>4</v>
      </c>
      <c r="I419" s="2">
        <v>2</v>
      </c>
      <c r="J419" s="3">
        <f>IF(A419="Upgrade",IF(OR(H419=4,H419=5),VLOOKUP(I419,'Renewal Rates'!$A$22:$B$27,2,FALSE),2.7%),IF(A419="Renewal",100%,0%))</f>
        <v>0</v>
      </c>
      <c r="K419" s="2" t="s">
        <v>22</v>
      </c>
      <c r="L419" s="2">
        <v>377</v>
      </c>
      <c r="M419" s="2" t="s">
        <v>23</v>
      </c>
      <c r="N419" s="2" t="s">
        <v>24</v>
      </c>
      <c r="O419" s="4">
        <v>666120</v>
      </c>
      <c r="P419" s="4">
        <v>9489</v>
      </c>
      <c r="Q419" s="4">
        <v>226481</v>
      </c>
      <c r="R419" s="4">
        <v>892601</v>
      </c>
      <c r="S419" s="5">
        <v>0.4</v>
      </c>
      <c r="T419" s="4">
        <v>357041</v>
      </c>
      <c r="U419" s="4">
        <v>1249642</v>
      </c>
      <c r="V419" s="6">
        <f t="shared" si="12"/>
        <v>0</v>
      </c>
      <c r="W419" s="6">
        <f t="shared" si="13"/>
        <v>1249642</v>
      </c>
    </row>
    <row r="420" spans="1:23" x14ac:dyDescent="0.3">
      <c r="A420" s="2" t="s">
        <v>21</v>
      </c>
      <c r="B420" s="2">
        <v>12.007</v>
      </c>
      <c r="C420" s="2">
        <v>2000030578</v>
      </c>
      <c r="D420" s="2">
        <v>86</v>
      </c>
      <c r="E420" s="2"/>
      <c r="F420" s="2">
        <v>1200</v>
      </c>
      <c r="G420" s="2">
        <v>1650</v>
      </c>
      <c r="H420" s="2">
        <v>5</v>
      </c>
      <c r="I420" s="2">
        <v>3</v>
      </c>
      <c r="J420" s="3">
        <f>IF(A420="Upgrade",IF(OR(H420=4,H420=5),VLOOKUP(I420,'Renewal Rates'!$A$22:$B$27,2,FALSE),2.7%),IF(A420="Renewal",100%,0%))</f>
        <v>0.21</v>
      </c>
      <c r="K420" s="2" t="s">
        <v>22</v>
      </c>
      <c r="L420" s="2">
        <v>377</v>
      </c>
      <c r="M420" s="2" t="s">
        <v>23</v>
      </c>
      <c r="N420" s="2" t="s">
        <v>24</v>
      </c>
      <c r="O420" s="4">
        <v>810543</v>
      </c>
      <c r="P420" s="4">
        <v>9425</v>
      </c>
      <c r="Q420" s="4">
        <v>275585</v>
      </c>
      <c r="R420" s="4">
        <v>1086127</v>
      </c>
      <c r="S420" s="5">
        <v>0.4</v>
      </c>
      <c r="T420" s="4">
        <v>434451</v>
      </c>
      <c r="U420" s="4">
        <v>1520578</v>
      </c>
      <c r="V420" s="6">
        <f t="shared" si="12"/>
        <v>319321.38</v>
      </c>
      <c r="W420" s="6">
        <f t="shared" si="13"/>
        <v>1201256.6200000001</v>
      </c>
    </row>
    <row r="421" spans="1:23" x14ac:dyDescent="0.3">
      <c r="A421" s="2" t="s">
        <v>21</v>
      </c>
      <c r="B421" s="2">
        <v>12.006</v>
      </c>
      <c r="C421" s="2">
        <v>2000834274</v>
      </c>
      <c r="D421" s="2">
        <v>27.7</v>
      </c>
      <c r="E421" s="2"/>
      <c r="F421" s="2">
        <v>750</v>
      </c>
      <c r="G421" s="2">
        <v>1275</v>
      </c>
      <c r="H421" s="2"/>
      <c r="I421" s="2"/>
      <c r="J421" s="3">
        <f>IF(A421="Upgrade",IF(OR(H421=4,H421=5),VLOOKUP(I421,'Renewal Rates'!$A$22:$B$27,2,FALSE),2.7%),IF(A421="Renewal",100%,0%))</f>
        <v>2.7000000000000003E-2</v>
      </c>
      <c r="K421" s="2" t="s">
        <v>22</v>
      </c>
      <c r="L421" s="2">
        <v>377</v>
      </c>
      <c r="M421" s="2" t="s">
        <v>23</v>
      </c>
      <c r="N421" s="2" t="s">
        <v>24</v>
      </c>
      <c r="O421" s="4">
        <v>209568</v>
      </c>
      <c r="P421" s="4">
        <v>7576</v>
      </c>
      <c r="Q421" s="4">
        <v>71253</v>
      </c>
      <c r="R421" s="4">
        <v>280821</v>
      </c>
      <c r="S421" s="5">
        <v>0.4</v>
      </c>
      <c r="T421" s="4">
        <v>112328</v>
      </c>
      <c r="U421" s="4">
        <v>393149</v>
      </c>
      <c r="V421" s="6">
        <f t="shared" si="12"/>
        <v>10615.023000000001</v>
      </c>
      <c r="W421" s="6">
        <f t="shared" si="13"/>
        <v>382533.97700000001</v>
      </c>
    </row>
    <row r="422" spans="1:23" x14ac:dyDescent="0.3">
      <c r="A422" s="2" t="s">
        <v>21</v>
      </c>
      <c r="B422" s="2">
        <v>12.006</v>
      </c>
      <c r="C422" s="2">
        <v>2000126657</v>
      </c>
      <c r="D422" s="2">
        <v>41.1</v>
      </c>
      <c r="E422" s="2"/>
      <c r="F422" s="2">
        <v>750</v>
      </c>
      <c r="G422" s="2">
        <v>1275</v>
      </c>
      <c r="H422" s="2"/>
      <c r="I422" s="2"/>
      <c r="J422" s="3">
        <f>IF(A422="Upgrade",IF(OR(H422=4,H422=5),VLOOKUP(I422,'Renewal Rates'!$A$22:$B$27,2,FALSE),2.7%),IF(A422="Renewal",100%,0%))</f>
        <v>2.7000000000000003E-2</v>
      </c>
      <c r="K422" s="2" t="s">
        <v>22</v>
      </c>
      <c r="L422" s="2">
        <v>377</v>
      </c>
      <c r="M422" s="2" t="s">
        <v>23</v>
      </c>
      <c r="N422" s="2" t="s">
        <v>24</v>
      </c>
      <c r="O422" s="4">
        <v>288892</v>
      </c>
      <c r="P422" s="4">
        <v>7032</v>
      </c>
      <c r="Q422" s="4">
        <v>98223</v>
      </c>
      <c r="R422" s="4">
        <v>387115</v>
      </c>
      <c r="S422" s="5">
        <v>0.4</v>
      </c>
      <c r="T422" s="4">
        <v>154846</v>
      </c>
      <c r="U422" s="4">
        <v>541961</v>
      </c>
      <c r="V422" s="6">
        <f t="shared" si="12"/>
        <v>14632.947000000002</v>
      </c>
      <c r="W422" s="6">
        <f t="shared" si="13"/>
        <v>527328.05299999996</v>
      </c>
    </row>
    <row r="423" spans="1:23" x14ac:dyDescent="0.3">
      <c r="A423" s="2" t="s">
        <v>21</v>
      </c>
      <c r="B423" s="2">
        <v>12.006</v>
      </c>
      <c r="C423" s="2">
        <v>2000510612</v>
      </c>
      <c r="D423" s="2">
        <v>53.3</v>
      </c>
      <c r="E423" s="2"/>
      <c r="F423" s="2">
        <v>750</v>
      </c>
      <c r="G423" s="2">
        <v>1275</v>
      </c>
      <c r="H423" s="2">
        <v>4</v>
      </c>
      <c r="I423" s="2">
        <v>3</v>
      </c>
      <c r="J423" s="3">
        <f>IF(A423="Upgrade",IF(OR(H423=4,H423=5),VLOOKUP(I423,'Renewal Rates'!$A$22:$B$27,2,FALSE),2.7%),IF(A423="Renewal",100%,0%))</f>
        <v>0.21</v>
      </c>
      <c r="K423" s="2" t="s">
        <v>22</v>
      </c>
      <c r="L423" s="2">
        <v>377</v>
      </c>
      <c r="M423" s="2" t="s">
        <v>23</v>
      </c>
      <c r="N423" s="2" t="s">
        <v>24</v>
      </c>
      <c r="O423" s="4">
        <v>362987</v>
      </c>
      <c r="P423" s="4">
        <v>6812</v>
      </c>
      <c r="Q423" s="4">
        <v>123415</v>
      </c>
      <c r="R423" s="4">
        <v>486402</v>
      </c>
      <c r="S423" s="5">
        <v>0.4</v>
      </c>
      <c r="T423" s="4">
        <v>194561</v>
      </c>
      <c r="U423" s="4">
        <v>680963</v>
      </c>
      <c r="V423" s="6">
        <f t="shared" si="12"/>
        <v>143002.22999999998</v>
      </c>
      <c r="W423" s="6">
        <f t="shared" si="13"/>
        <v>537960.77</v>
      </c>
    </row>
    <row r="424" spans="1:23" x14ac:dyDescent="0.3">
      <c r="A424" s="2" t="s">
        <v>21</v>
      </c>
      <c r="B424" s="2">
        <v>15.004</v>
      </c>
      <c r="C424" s="2">
        <v>2000757638</v>
      </c>
      <c r="D424" s="2">
        <v>45</v>
      </c>
      <c r="E424" s="2"/>
      <c r="F424" s="2">
        <v>1500</v>
      </c>
      <c r="G424" s="2">
        <v>1950</v>
      </c>
      <c r="H424" s="2">
        <v>4</v>
      </c>
      <c r="I424" s="2">
        <v>2</v>
      </c>
      <c r="J424" s="3">
        <f>IF(A424="Upgrade",IF(OR(H424=4,H424=5),VLOOKUP(I424,'Renewal Rates'!$A$22:$B$27,2,FALSE),2.7%),IF(A424="Renewal",100%,0%))</f>
        <v>0</v>
      </c>
      <c r="K424" s="2" t="s">
        <v>22</v>
      </c>
      <c r="L424" s="2">
        <v>377</v>
      </c>
      <c r="M424" s="2" t="s">
        <v>23</v>
      </c>
      <c r="N424" s="2" t="s">
        <v>24</v>
      </c>
      <c r="O424" s="4">
        <v>524266</v>
      </c>
      <c r="P424" s="4">
        <v>11660</v>
      </c>
      <c r="Q424" s="4">
        <v>178251</v>
      </c>
      <c r="R424" s="4">
        <v>702517</v>
      </c>
      <c r="S424" s="5">
        <v>0.4</v>
      </c>
      <c r="T424" s="4">
        <v>281007</v>
      </c>
      <c r="U424" s="4">
        <v>983524</v>
      </c>
      <c r="V424" s="6">
        <f t="shared" si="12"/>
        <v>0</v>
      </c>
      <c r="W424" s="6">
        <f t="shared" si="13"/>
        <v>983524</v>
      </c>
    </row>
    <row r="425" spans="1:23" x14ac:dyDescent="0.3">
      <c r="A425" s="2" t="s">
        <v>21</v>
      </c>
      <c r="B425" s="2">
        <v>12.003</v>
      </c>
      <c r="C425" s="2">
        <v>2000623492</v>
      </c>
      <c r="D425" s="2">
        <v>128.19999999999999</v>
      </c>
      <c r="E425" s="2"/>
      <c r="F425" s="2">
        <v>1500</v>
      </c>
      <c r="G425" s="2">
        <v>1950</v>
      </c>
      <c r="H425" s="2">
        <v>5</v>
      </c>
      <c r="I425" s="2">
        <v>2</v>
      </c>
      <c r="J425" s="3">
        <f>IF(A425="Upgrade",IF(OR(H425=4,H425=5),VLOOKUP(I425,'Renewal Rates'!$A$22:$B$27,2,FALSE),2.7%),IF(A425="Renewal",100%,0%))</f>
        <v>0</v>
      </c>
      <c r="K425" s="2" t="s">
        <v>22</v>
      </c>
      <c r="L425" s="2">
        <v>377</v>
      </c>
      <c r="M425" s="2" t="s">
        <v>23</v>
      </c>
      <c r="N425" s="2" t="s">
        <v>24</v>
      </c>
      <c r="O425" s="4">
        <v>1465874</v>
      </c>
      <c r="P425" s="4">
        <v>11438</v>
      </c>
      <c r="Q425" s="4">
        <v>498397</v>
      </c>
      <c r="R425" s="4">
        <v>1964271</v>
      </c>
      <c r="S425" s="5">
        <v>0.4</v>
      </c>
      <c r="T425" s="4">
        <v>785709</v>
      </c>
      <c r="U425" s="4">
        <v>2749980</v>
      </c>
      <c r="V425" s="6">
        <f t="shared" si="12"/>
        <v>0</v>
      </c>
      <c r="W425" s="6">
        <f t="shared" si="13"/>
        <v>2749980</v>
      </c>
    </row>
    <row r="426" spans="1:23" x14ac:dyDescent="0.3">
      <c r="A426" s="2" t="s">
        <v>21</v>
      </c>
      <c r="B426" s="2">
        <v>12.004</v>
      </c>
      <c r="C426" s="2">
        <v>2000246846</v>
      </c>
      <c r="D426" s="2">
        <v>35.1</v>
      </c>
      <c r="E426" s="2"/>
      <c r="F426" s="2">
        <v>375</v>
      </c>
      <c r="G426" s="2">
        <v>450</v>
      </c>
      <c r="H426" s="2">
        <v>4</v>
      </c>
      <c r="I426" s="2">
        <v>2</v>
      </c>
      <c r="J426" s="3">
        <f>IF(A426="Upgrade",IF(OR(H426=4,H426=5),VLOOKUP(I426,'Renewal Rates'!$A$22:$B$27,2,FALSE),2.7%),IF(A426="Renewal",100%,0%))</f>
        <v>0</v>
      </c>
      <c r="K426" s="2" t="s">
        <v>22</v>
      </c>
      <c r="L426" s="2">
        <v>375</v>
      </c>
      <c r="M426" s="2" t="s">
        <v>23</v>
      </c>
      <c r="N426" s="2" t="s">
        <v>24</v>
      </c>
      <c r="O426" s="4">
        <v>108290</v>
      </c>
      <c r="P426" s="4">
        <v>3084</v>
      </c>
      <c r="Q426" s="4">
        <v>36819</v>
      </c>
      <c r="R426" s="4">
        <v>145109</v>
      </c>
      <c r="S426" s="5">
        <v>0.4</v>
      </c>
      <c r="T426" s="4">
        <v>58044</v>
      </c>
      <c r="U426" s="4">
        <v>203153</v>
      </c>
      <c r="V426" s="6">
        <f t="shared" si="12"/>
        <v>0</v>
      </c>
      <c r="W426" s="6">
        <f t="shared" si="13"/>
        <v>203153</v>
      </c>
    </row>
    <row r="427" spans="1:23" x14ac:dyDescent="0.3">
      <c r="A427" s="2" t="s">
        <v>21</v>
      </c>
      <c r="B427" s="2">
        <v>12.013</v>
      </c>
      <c r="C427" s="2">
        <v>2000413027</v>
      </c>
      <c r="D427" s="2">
        <v>27.2</v>
      </c>
      <c r="E427" s="2"/>
      <c r="F427" s="2">
        <v>300</v>
      </c>
      <c r="G427" s="2">
        <v>450</v>
      </c>
      <c r="H427" s="2">
        <v>4</v>
      </c>
      <c r="I427" s="2">
        <v>2</v>
      </c>
      <c r="J427" s="3">
        <f>IF(A427="Upgrade",IF(OR(H427=4,H427=5),VLOOKUP(I427,'Renewal Rates'!$A$22:$B$27,2,FALSE),2.7%),IF(A427="Renewal",100%,0%))</f>
        <v>0</v>
      </c>
      <c r="K427" s="2" t="s">
        <v>22</v>
      </c>
      <c r="L427" s="2">
        <v>375</v>
      </c>
      <c r="M427" s="2" t="s">
        <v>23</v>
      </c>
      <c r="N427" s="2" t="s">
        <v>24</v>
      </c>
      <c r="O427" s="4">
        <v>83226</v>
      </c>
      <c r="P427" s="4">
        <v>3058</v>
      </c>
      <c r="Q427" s="4">
        <v>28297</v>
      </c>
      <c r="R427" s="4">
        <v>111522</v>
      </c>
      <c r="S427" s="5">
        <v>0.4</v>
      </c>
      <c r="T427" s="4">
        <v>44609</v>
      </c>
      <c r="U427" s="4">
        <v>156131</v>
      </c>
      <c r="V427" s="6">
        <f t="shared" si="12"/>
        <v>0</v>
      </c>
      <c r="W427" s="6">
        <f t="shared" si="13"/>
        <v>156131</v>
      </c>
    </row>
    <row r="428" spans="1:23" x14ac:dyDescent="0.3">
      <c r="A428" s="2" t="s">
        <v>21</v>
      </c>
      <c r="B428" s="2">
        <v>12.002000000000001</v>
      </c>
      <c r="C428" s="2">
        <v>2000341756</v>
      </c>
      <c r="D428" s="2">
        <v>81.7</v>
      </c>
      <c r="E428" s="2"/>
      <c r="F428" s="2">
        <v>1500</v>
      </c>
      <c r="G428" s="2">
        <v>1950</v>
      </c>
      <c r="H428" s="2">
        <v>5</v>
      </c>
      <c r="I428" s="2">
        <v>1</v>
      </c>
      <c r="J428" s="3">
        <f>IF(A428="Upgrade",IF(OR(H428=4,H428=5),VLOOKUP(I428,'Renewal Rates'!$A$22:$B$27,2,FALSE),2.7%),IF(A428="Renewal",100%,0%))</f>
        <v>0</v>
      </c>
      <c r="K428" s="2" t="s">
        <v>22</v>
      </c>
      <c r="L428" s="2">
        <v>377</v>
      </c>
      <c r="M428" s="2" t="s">
        <v>23</v>
      </c>
      <c r="N428" s="2" t="s">
        <v>24</v>
      </c>
      <c r="O428" s="4">
        <v>941082</v>
      </c>
      <c r="P428" s="4">
        <v>11518</v>
      </c>
      <c r="Q428" s="4">
        <v>319968</v>
      </c>
      <c r="R428" s="4">
        <v>1261050</v>
      </c>
      <c r="S428" s="5">
        <v>0.4</v>
      </c>
      <c r="T428" s="4">
        <v>504420</v>
      </c>
      <c r="U428" s="4">
        <v>1765469</v>
      </c>
      <c r="V428" s="6">
        <f t="shared" si="12"/>
        <v>0</v>
      </c>
      <c r="W428" s="6">
        <f t="shared" si="13"/>
        <v>1765469</v>
      </c>
    </row>
    <row r="429" spans="1:23" x14ac:dyDescent="0.3">
      <c r="A429" s="2" t="s">
        <v>21</v>
      </c>
      <c r="B429" s="2">
        <v>12.002000000000001</v>
      </c>
      <c r="C429" s="2">
        <v>2000441032</v>
      </c>
      <c r="D429" s="2">
        <v>16.899999999999999</v>
      </c>
      <c r="E429" s="2"/>
      <c r="F429" s="2">
        <v>1500</v>
      </c>
      <c r="G429" s="2">
        <v>1950</v>
      </c>
      <c r="H429" s="2">
        <v>5</v>
      </c>
      <c r="I429" s="2">
        <v>2</v>
      </c>
      <c r="J429" s="3">
        <f>IF(A429="Upgrade",IF(OR(H429=4,H429=5),VLOOKUP(I429,'Renewal Rates'!$A$22:$B$27,2,FALSE),2.7%),IF(A429="Renewal",100%,0%))</f>
        <v>0</v>
      </c>
      <c r="K429" s="2" t="s">
        <v>22</v>
      </c>
      <c r="L429" s="2">
        <v>377</v>
      </c>
      <c r="M429" s="2" t="s">
        <v>23</v>
      </c>
      <c r="N429" s="2" t="s">
        <v>24</v>
      </c>
      <c r="O429" s="4">
        <v>204835</v>
      </c>
      <c r="P429" s="4">
        <v>12114</v>
      </c>
      <c r="Q429" s="4">
        <v>69644</v>
      </c>
      <c r="R429" s="4">
        <v>274480</v>
      </c>
      <c r="S429" s="5">
        <v>0.4</v>
      </c>
      <c r="T429" s="4">
        <v>109792</v>
      </c>
      <c r="U429" s="4">
        <v>384271</v>
      </c>
      <c r="V429" s="6">
        <f t="shared" si="12"/>
        <v>0</v>
      </c>
      <c r="W429" s="6">
        <f t="shared" si="13"/>
        <v>384271</v>
      </c>
    </row>
    <row r="430" spans="1:23" x14ac:dyDescent="0.3">
      <c r="A430" s="2" t="s">
        <v>21</v>
      </c>
      <c r="B430" s="2">
        <v>12.002000000000001</v>
      </c>
      <c r="C430" s="2">
        <v>2000377707</v>
      </c>
      <c r="D430" s="2">
        <v>26.6</v>
      </c>
      <c r="E430" s="2"/>
      <c r="F430" s="2">
        <v>1500</v>
      </c>
      <c r="G430" s="2">
        <v>1950</v>
      </c>
      <c r="H430" s="2">
        <v>4</v>
      </c>
      <c r="I430" s="2">
        <v>1</v>
      </c>
      <c r="J430" s="3">
        <f>IF(A430="Upgrade",IF(OR(H430=4,H430=5),VLOOKUP(I430,'Renewal Rates'!$A$22:$B$27,2,FALSE),2.7%),IF(A430="Renewal",100%,0%))</f>
        <v>0</v>
      </c>
      <c r="K430" s="2" t="s">
        <v>22</v>
      </c>
      <c r="L430" s="2">
        <v>377</v>
      </c>
      <c r="M430" s="2" t="s">
        <v>23</v>
      </c>
      <c r="N430" s="2" t="s">
        <v>24</v>
      </c>
      <c r="O430" s="4">
        <v>312662</v>
      </c>
      <c r="P430" s="4">
        <v>11759</v>
      </c>
      <c r="Q430" s="4">
        <v>106305</v>
      </c>
      <c r="R430" s="4">
        <v>418967</v>
      </c>
      <c r="S430" s="5">
        <v>0.4</v>
      </c>
      <c r="T430" s="4">
        <v>167587</v>
      </c>
      <c r="U430" s="4">
        <v>586554</v>
      </c>
      <c r="V430" s="6">
        <f t="shared" si="12"/>
        <v>0</v>
      </c>
      <c r="W430" s="6">
        <f t="shared" si="13"/>
        <v>586554</v>
      </c>
    </row>
    <row r="431" spans="1:23" x14ac:dyDescent="0.3">
      <c r="A431" s="2" t="s">
        <v>21</v>
      </c>
      <c r="B431" s="2">
        <v>12.002000000000001</v>
      </c>
      <c r="C431" s="2">
        <v>2000307972</v>
      </c>
      <c r="D431" s="2">
        <v>14.5</v>
      </c>
      <c r="E431" s="2"/>
      <c r="F431" s="2">
        <v>1500</v>
      </c>
      <c r="G431" s="2">
        <v>1950</v>
      </c>
      <c r="H431" s="2">
        <v>4</v>
      </c>
      <c r="I431" s="2">
        <v>1</v>
      </c>
      <c r="J431" s="3">
        <f>IF(A431="Upgrade",IF(OR(H431=4,H431=5),VLOOKUP(I431,'Renewal Rates'!$A$22:$B$27,2,FALSE),2.7%),IF(A431="Renewal",100%,0%))</f>
        <v>0</v>
      </c>
      <c r="K431" s="2" t="s">
        <v>22</v>
      </c>
      <c r="L431" s="2">
        <v>377</v>
      </c>
      <c r="M431" s="2" t="s">
        <v>23</v>
      </c>
      <c r="N431" s="2" t="s">
        <v>24</v>
      </c>
      <c r="O431" s="4">
        <v>172385</v>
      </c>
      <c r="P431" s="4">
        <v>11862</v>
      </c>
      <c r="Q431" s="4">
        <v>58611</v>
      </c>
      <c r="R431" s="4">
        <v>230996</v>
      </c>
      <c r="S431" s="5">
        <v>0.4</v>
      </c>
      <c r="T431" s="4">
        <v>92398</v>
      </c>
      <c r="U431" s="4">
        <v>323395</v>
      </c>
      <c r="V431" s="6">
        <f t="shared" si="12"/>
        <v>0</v>
      </c>
      <c r="W431" s="6">
        <f t="shared" si="13"/>
        <v>323395</v>
      </c>
    </row>
    <row r="432" spans="1:23" x14ac:dyDescent="0.3">
      <c r="A432" s="2" t="s">
        <v>21</v>
      </c>
      <c r="B432" s="2">
        <v>12.005000000000001</v>
      </c>
      <c r="C432" s="2">
        <v>2000012504</v>
      </c>
      <c r="D432" s="2">
        <v>58.8</v>
      </c>
      <c r="E432" s="2"/>
      <c r="F432" s="2">
        <v>1500</v>
      </c>
      <c r="G432" s="2">
        <v>1800</v>
      </c>
      <c r="H432" s="2">
        <v>5</v>
      </c>
      <c r="I432" s="2">
        <v>3</v>
      </c>
      <c r="J432" s="3">
        <f>IF(A432="Upgrade",IF(OR(H432=4,H432=5),VLOOKUP(I432,'Renewal Rates'!$A$22:$B$27,2,FALSE),2.7%),IF(A432="Renewal",100%,0%))</f>
        <v>0.21</v>
      </c>
      <c r="K432" s="2" t="s">
        <v>22</v>
      </c>
      <c r="L432" s="2">
        <v>385</v>
      </c>
      <c r="M432" s="2" t="s">
        <v>23</v>
      </c>
      <c r="N432" s="2" t="s">
        <v>24</v>
      </c>
      <c r="O432" s="4">
        <v>601116</v>
      </c>
      <c r="P432" s="4">
        <v>10216</v>
      </c>
      <c r="Q432" s="4">
        <v>204379</v>
      </c>
      <c r="R432" s="4">
        <v>805495</v>
      </c>
      <c r="S432" s="5">
        <v>0.4</v>
      </c>
      <c r="T432" s="4">
        <v>322198</v>
      </c>
      <c r="U432" s="4">
        <v>1127693</v>
      </c>
      <c r="V432" s="6">
        <f t="shared" si="12"/>
        <v>236815.53</v>
      </c>
      <c r="W432" s="6">
        <f t="shared" si="13"/>
        <v>890877.47</v>
      </c>
    </row>
    <row r="433" spans="1:41" x14ac:dyDescent="0.3">
      <c r="A433" s="2" t="s">
        <v>21</v>
      </c>
      <c r="B433" s="2">
        <v>12.010999999999999</v>
      </c>
      <c r="C433" s="2">
        <v>2000486966</v>
      </c>
      <c r="D433" s="2">
        <v>24</v>
      </c>
      <c r="E433" s="2"/>
      <c r="F433" s="2">
        <v>750</v>
      </c>
      <c r="G433" s="2">
        <v>675</v>
      </c>
      <c r="H433" s="2"/>
      <c r="I433" s="2"/>
      <c r="J433" s="3">
        <f>IF(A433="Upgrade",IF(OR(H433=4,H433=5),VLOOKUP(I433,'Renewal Rates'!$A$22:$B$27,2,FALSE),2.7%),IF(A433="Renewal",100%,0%))</f>
        <v>2.7000000000000003E-2</v>
      </c>
      <c r="K433" s="2" t="s">
        <v>22</v>
      </c>
      <c r="L433" s="2">
        <v>377</v>
      </c>
      <c r="M433" s="2" t="s">
        <v>23</v>
      </c>
      <c r="N433" s="2" t="s">
        <v>24</v>
      </c>
      <c r="O433" s="4">
        <v>140972</v>
      </c>
      <c r="P433" s="4">
        <v>5880</v>
      </c>
      <c r="Q433" s="4">
        <v>47931</v>
      </c>
      <c r="R433" s="4">
        <v>188903</v>
      </c>
      <c r="S433" s="5">
        <v>0.4</v>
      </c>
      <c r="T433" s="4">
        <v>75561</v>
      </c>
      <c r="U433" s="4">
        <v>264464</v>
      </c>
      <c r="V433" s="6">
        <f t="shared" si="12"/>
        <v>7140.5280000000012</v>
      </c>
      <c r="W433" s="6">
        <f t="shared" si="13"/>
        <v>257323.47200000001</v>
      </c>
    </row>
    <row r="434" spans="1:41" x14ac:dyDescent="0.3">
      <c r="A434" s="2" t="s">
        <v>21</v>
      </c>
      <c r="B434" s="2">
        <v>12.010999999999999</v>
      </c>
      <c r="C434" s="2">
        <v>2000383049</v>
      </c>
      <c r="D434" s="2">
        <v>20</v>
      </c>
      <c r="E434" s="2"/>
      <c r="F434" s="2">
        <v>750</v>
      </c>
      <c r="G434" s="2">
        <v>675</v>
      </c>
      <c r="H434" s="2"/>
      <c r="I434" s="2"/>
      <c r="J434" s="3">
        <f>IF(A434="Upgrade",IF(OR(H434=4,H434=5),VLOOKUP(I434,'Renewal Rates'!$A$22:$B$27,2,FALSE),2.7%),IF(A434="Renewal",100%,0%))</f>
        <v>2.7000000000000003E-2</v>
      </c>
      <c r="K434" s="2" t="s">
        <v>22</v>
      </c>
      <c r="L434" s="2">
        <v>377</v>
      </c>
      <c r="M434" s="2" t="s">
        <v>23</v>
      </c>
      <c r="N434" s="2" t="s">
        <v>24</v>
      </c>
      <c r="O434" s="4">
        <v>116778</v>
      </c>
      <c r="P434" s="4">
        <v>5839</v>
      </c>
      <c r="Q434" s="4">
        <v>39705</v>
      </c>
      <c r="R434" s="4">
        <v>156483</v>
      </c>
      <c r="S434" s="5">
        <v>0.4</v>
      </c>
      <c r="T434" s="4">
        <v>62593</v>
      </c>
      <c r="U434" s="4">
        <v>219076</v>
      </c>
      <c r="V434" s="6">
        <f t="shared" si="12"/>
        <v>5915.0520000000006</v>
      </c>
      <c r="W434" s="6">
        <f t="shared" si="13"/>
        <v>213160.948</v>
      </c>
    </row>
    <row r="435" spans="1:41" x14ac:dyDescent="0.3">
      <c r="A435" s="2" t="s">
        <v>21</v>
      </c>
      <c r="B435" s="2">
        <v>12.012</v>
      </c>
      <c r="C435" s="2">
        <v>2000684406</v>
      </c>
      <c r="D435" s="2">
        <v>36.1</v>
      </c>
      <c r="E435" s="2"/>
      <c r="F435" s="2">
        <v>525</v>
      </c>
      <c r="G435" s="2">
        <v>450</v>
      </c>
      <c r="H435" s="2"/>
      <c r="I435" s="2"/>
      <c r="J435" s="3">
        <f>IF(A435="Upgrade",IF(OR(H435=4,H435=5),VLOOKUP(I435,'Renewal Rates'!$A$22:$B$27,2,FALSE),2.7%),IF(A435="Renewal",100%,0%))</f>
        <v>2.7000000000000003E-2</v>
      </c>
      <c r="K435" s="2" t="s">
        <v>22</v>
      </c>
      <c r="L435" s="2">
        <v>375</v>
      </c>
      <c r="M435" s="2" t="s">
        <v>23</v>
      </c>
      <c r="N435" s="2" t="s">
        <v>24</v>
      </c>
      <c r="O435" s="4">
        <v>108998</v>
      </c>
      <c r="P435" s="4">
        <v>3019</v>
      </c>
      <c r="Q435" s="4">
        <v>37059</v>
      </c>
      <c r="R435" s="4">
        <v>146058</v>
      </c>
      <c r="S435" s="5">
        <v>0.4</v>
      </c>
      <c r="T435" s="4">
        <v>58423</v>
      </c>
      <c r="U435" s="4">
        <v>204481</v>
      </c>
      <c r="V435" s="6">
        <f t="shared" si="12"/>
        <v>5520.987000000001</v>
      </c>
      <c r="W435" s="6">
        <f t="shared" si="13"/>
        <v>198960.01300000001</v>
      </c>
    </row>
    <row r="436" spans="1:41" x14ac:dyDescent="0.3">
      <c r="A436" s="2" t="s">
        <v>21</v>
      </c>
      <c r="B436" s="2">
        <v>12.012</v>
      </c>
      <c r="C436" s="2">
        <v>2000607041</v>
      </c>
      <c r="D436" s="2">
        <v>23.4</v>
      </c>
      <c r="E436" s="2"/>
      <c r="F436" s="2">
        <v>525</v>
      </c>
      <c r="G436" s="2">
        <v>450</v>
      </c>
      <c r="H436" s="2">
        <v>4</v>
      </c>
      <c r="I436" s="2">
        <v>3</v>
      </c>
      <c r="J436" s="3">
        <f>IF(A436="Upgrade",IF(OR(H436=4,H436=5),VLOOKUP(I436,'Renewal Rates'!$A$22:$B$27,2,FALSE),2.7%),IF(A436="Renewal",100%,0%))</f>
        <v>0.21</v>
      </c>
      <c r="K436" s="2" t="s">
        <v>22</v>
      </c>
      <c r="L436" s="2">
        <v>375</v>
      </c>
      <c r="M436" s="2" t="s">
        <v>23</v>
      </c>
      <c r="N436" s="2" t="s">
        <v>24</v>
      </c>
      <c r="O436" s="4">
        <v>80499</v>
      </c>
      <c r="P436" s="4">
        <v>3442</v>
      </c>
      <c r="Q436" s="4">
        <v>27370</v>
      </c>
      <c r="R436" s="4">
        <v>107868</v>
      </c>
      <c r="S436" s="5">
        <v>0.4</v>
      </c>
      <c r="T436" s="4">
        <v>43147</v>
      </c>
      <c r="U436" s="4">
        <v>151016</v>
      </c>
      <c r="V436" s="6">
        <f t="shared" si="12"/>
        <v>31713.360000000001</v>
      </c>
      <c r="W436" s="6">
        <f t="shared" si="13"/>
        <v>119302.64</v>
      </c>
    </row>
    <row r="437" spans="1:41" x14ac:dyDescent="0.3">
      <c r="A437" s="2" t="s">
        <v>21</v>
      </c>
      <c r="B437" s="2">
        <v>12.012</v>
      </c>
      <c r="C437" s="2">
        <v>2000146113</v>
      </c>
      <c r="D437" s="2">
        <v>35.5</v>
      </c>
      <c r="E437" s="2"/>
      <c r="F437" s="2">
        <v>450</v>
      </c>
      <c r="G437" s="2">
        <v>450</v>
      </c>
      <c r="H437" s="2">
        <v>4</v>
      </c>
      <c r="I437" s="2">
        <v>2</v>
      </c>
      <c r="J437" s="3">
        <f>IF(A437="Upgrade",IF(OR(H437=4,H437=5),VLOOKUP(I437,'Renewal Rates'!$A$22:$B$27,2,FALSE),2.7%),IF(A437="Renewal",100%,0%))</f>
        <v>0</v>
      </c>
      <c r="K437" s="2" t="s">
        <v>22</v>
      </c>
      <c r="L437" s="2">
        <v>375</v>
      </c>
      <c r="M437" s="2" t="s">
        <v>23</v>
      </c>
      <c r="N437" s="2" t="s">
        <v>24</v>
      </c>
      <c r="O437" s="4">
        <v>108550</v>
      </c>
      <c r="P437" s="4">
        <v>3060</v>
      </c>
      <c r="Q437" s="4">
        <v>36907</v>
      </c>
      <c r="R437" s="4">
        <v>145457</v>
      </c>
      <c r="S437" s="5">
        <v>0.4</v>
      </c>
      <c r="T437" s="4">
        <v>58183</v>
      </c>
      <c r="U437" s="4">
        <v>203640</v>
      </c>
      <c r="V437" s="6">
        <f t="shared" si="12"/>
        <v>0</v>
      </c>
      <c r="W437" s="6">
        <f t="shared" si="13"/>
        <v>203640</v>
      </c>
      <c r="AI437" s="6"/>
      <c r="AJ437" s="6"/>
      <c r="AK437" s="6"/>
      <c r="AL437" s="6"/>
      <c r="AM437" s="10"/>
      <c r="AN437" s="6"/>
      <c r="AO437" s="6"/>
    </row>
    <row r="438" spans="1:41" x14ac:dyDescent="0.3">
      <c r="A438" s="2" t="s">
        <v>21</v>
      </c>
      <c r="B438" s="2">
        <v>12.012</v>
      </c>
      <c r="C438" s="2">
        <v>2000192119</v>
      </c>
      <c r="D438" s="2">
        <v>27</v>
      </c>
      <c r="E438" s="2"/>
      <c r="F438" s="2">
        <v>450</v>
      </c>
      <c r="G438" s="2">
        <v>450</v>
      </c>
      <c r="H438" s="2">
        <v>4</v>
      </c>
      <c r="I438" s="2">
        <v>2</v>
      </c>
      <c r="J438" s="3">
        <f>IF(A438="Upgrade",IF(OR(H438=4,H438=5),VLOOKUP(I438,'Renewal Rates'!$A$22:$B$27,2,FALSE),2.7%),IF(A438="Renewal",100%,0%))</f>
        <v>0</v>
      </c>
      <c r="K438" s="2" t="s">
        <v>22</v>
      </c>
      <c r="L438" s="2">
        <v>375</v>
      </c>
      <c r="M438" s="2" t="s">
        <v>23</v>
      </c>
      <c r="N438" s="2" t="s">
        <v>24</v>
      </c>
      <c r="O438" s="4">
        <v>83089</v>
      </c>
      <c r="P438" s="4">
        <v>3075</v>
      </c>
      <c r="Q438" s="4">
        <v>28250</v>
      </c>
      <c r="R438" s="4">
        <v>111339</v>
      </c>
      <c r="S438" s="5">
        <v>0.4</v>
      </c>
      <c r="T438" s="4">
        <v>44536</v>
      </c>
      <c r="U438" s="4">
        <v>155875</v>
      </c>
      <c r="V438" s="6">
        <f t="shared" si="12"/>
        <v>0</v>
      </c>
      <c r="W438" s="6">
        <f t="shared" si="13"/>
        <v>155875</v>
      </c>
    </row>
    <row r="439" spans="1:41" x14ac:dyDescent="0.3">
      <c r="A439" s="2" t="s">
        <v>21</v>
      </c>
      <c r="B439" s="2">
        <v>12.012</v>
      </c>
      <c r="C439" s="2">
        <v>2000829871</v>
      </c>
      <c r="D439" s="2">
        <v>69.7</v>
      </c>
      <c r="E439" s="2"/>
      <c r="F439" s="2">
        <v>450</v>
      </c>
      <c r="G439" s="2">
        <v>450</v>
      </c>
      <c r="H439" s="2">
        <v>4</v>
      </c>
      <c r="I439" s="2">
        <v>3</v>
      </c>
      <c r="J439" s="3">
        <f>IF(A439="Upgrade",IF(OR(H439=4,H439=5),VLOOKUP(I439,'Renewal Rates'!$A$22:$B$27,2,FALSE),2.7%),IF(A439="Renewal",100%,0%))</f>
        <v>0.21</v>
      </c>
      <c r="K439" s="2" t="s">
        <v>22</v>
      </c>
      <c r="L439" s="2">
        <v>375</v>
      </c>
      <c r="M439" s="2" t="s">
        <v>23</v>
      </c>
      <c r="N439" s="2" t="s">
        <v>24</v>
      </c>
      <c r="O439" s="4">
        <v>191159</v>
      </c>
      <c r="P439" s="4">
        <v>2743</v>
      </c>
      <c r="Q439" s="4">
        <v>64994</v>
      </c>
      <c r="R439" s="4">
        <v>256154</v>
      </c>
      <c r="S439" s="5">
        <v>0.4</v>
      </c>
      <c r="T439" s="4">
        <v>102461</v>
      </c>
      <c r="U439" s="4">
        <v>358615</v>
      </c>
      <c r="V439" s="6">
        <f t="shared" si="12"/>
        <v>75309.149999999994</v>
      </c>
      <c r="W439" s="6">
        <f t="shared" si="13"/>
        <v>283305.84999999998</v>
      </c>
    </row>
    <row r="440" spans="1:41" x14ac:dyDescent="0.3">
      <c r="A440" s="2" t="s">
        <v>21</v>
      </c>
      <c r="B440" s="2">
        <v>12.01</v>
      </c>
      <c r="C440" s="2">
        <v>2000212272</v>
      </c>
      <c r="D440" s="2">
        <v>9.4</v>
      </c>
      <c r="E440" s="2"/>
      <c r="F440" s="2">
        <v>525</v>
      </c>
      <c r="G440" s="2">
        <v>450</v>
      </c>
      <c r="H440" s="2">
        <v>4</v>
      </c>
      <c r="I440" s="2">
        <v>1</v>
      </c>
      <c r="J440" s="3">
        <f>IF(A440="Upgrade",IF(OR(H440=4,H440=5),VLOOKUP(I440,'Renewal Rates'!$A$22:$B$27,2,FALSE),2.7%),IF(A440="Renewal",100%,0%))</f>
        <v>0</v>
      </c>
      <c r="K440" s="2" t="s">
        <v>22</v>
      </c>
      <c r="L440" s="2">
        <v>375</v>
      </c>
      <c r="M440" s="2" t="s">
        <v>23</v>
      </c>
      <c r="N440" s="2" t="s">
        <v>24</v>
      </c>
      <c r="O440" s="4">
        <v>51076</v>
      </c>
      <c r="P440" s="4">
        <v>5446</v>
      </c>
      <c r="Q440" s="4">
        <v>17366</v>
      </c>
      <c r="R440" s="4">
        <v>68442</v>
      </c>
      <c r="S440" s="5">
        <v>0.4</v>
      </c>
      <c r="T440" s="4">
        <v>27377</v>
      </c>
      <c r="U440" s="4">
        <v>95819</v>
      </c>
      <c r="V440" s="6">
        <f t="shared" si="12"/>
        <v>0</v>
      </c>
      <c r="W440" s="6">
        <f t="shared" si="13"/>
        <v>95819</v>
      </c>
    </row>
    <row r="441" spans="1:41" x14ac:dyDescent="0.3">
      <c r="A441" s="2" t="s">
        <v>21</v>
      </c>
      <c r="B441" s="2">
        <v>12.01</v>
      </c>
      <c r="C441" s="2">
        <v>2000152501</v>
      </c>
      <c r="D441" s="2">
        <v>18</v>
      </c>
      <c r="E441" s="2"/>
      <c r="F441" s="2">
        <v>525</v>
      </c>
      <c r="G441" s="2">
        <v>450</v>
      </c>
      <c r="H441" s="2">
        <v>4</v>
      </c>
      <c r="I441" s="2">
        <v>3</v>
      </c>
      <c r="J441" s="3">
        <f>IF(A441="Upgrade",IF(OR(H441=4,H441=5),VLOOKUP(I441,'Renewal Rates'!$A$22:$B$27,2,FALSE),2.7%),IF(A441="Renewal",100%,0%))</f>
        <v>0.21</v>
      </c>
      <c r="K441" s="2" t="s">
        <v>22</v>
      </c>
      <c r="L441" s="2">
        <v>375</v>
      </c>
      <c r="M441" s="2" t="s">
        <v>23</v>
      </c>
      <c r="N441" s="2" t="s">
        <v>24</v>
      </c>
      <c r="O441" s="4">
        <v>76671</v>
      </c>
      <c r="P441" s="4">
        <v>4255</v>
      </c>
      <c r="Q441" s="4">
        <v>26068</v>
      </c>
      <c r="R441" s="4">
        <v>102739</v>
      </c>
      <c r="S441" s="5">
        <v>0.4</v>
      </c>
      <c r="T441" s="4">
        <v>41096</v>
      </c>
      <c r="U441" s="4">
        <v>143835</v>
      </c>
      <c r="V441" s="6">
        <f t="shared" si="12"/>
        <v>30205.35</v>
      </c>
      <c r="W441" s="6">
        <f t="shared" si="13"/>
        <v>113629.65</v>
      </c>
    </row>
    <row r="442" spans="1:41" x14ac:dyDescent="0.3">
      <c r="A442" s="2" t="s">
        <v>21</v>
      </c>
      <c r="B442" s="2">
        <v>12.01</v>
      </c>
      <c r="C442" s="2">
        <v>2000141494</v>
      </c>
      <c r="D442" s="2">
        <v>43.3</v>
      </c>
      <c r="E442" s="2"/>
      <c r="F442" s="2">
        <v>450</v>
      </c>
      <c r="G442" s="2">
        <v>450</v>
      </c>
      <c r="H442" s="2">
        <v>4</v>
      </c>
      <c r="I442" s="2">
        <v>2</v>
      </c>
      <c r="J442" s="3">
        <f>IF(A442="Upgrade",IF(OR(H442=4,H442=5),VLOOKUP(I442,'Renewal Rates'!$A$22:$B$27,2,FALSE),2.7%),IF(A442="Renewal",100%,0%))</f>
        <v>0</v>
      </c>
      <c r="K442" s="2" t="s">
        <v>22</v>
      </c>
      <c r="L442" s="2">
        <v>375</v>
      </c>
      <c r="M442" s="2" t="s">
        <v>23</v>
      </c>
      <c r="N442" s="2" t="s">
        <v>24</v>
      </c>
      <c r="O442" s="4">
        <v>117192</v>
      </c>
      <c r="P442" s="4">
        <v>2706</v>
      </c>
      <c r="Q442" s="4">
        <v>39845</v>
      </c>
      <c r="R442" s="4">
        <v>157037</v>
      </c>
      <c r="S442" s="5">
        <v>0.4</v>
      </c>
      <c r="T442" s="4">
        <v>62815</v>
      </c>
      <c r="U442" s="4">
        <v>219851</v>
      </c>
      <c r="V442" s="6">
        <f t="shared" si="12"/>
        <v>0</v>
      </c>
      <c r="W442" s="6">
        <f t="shared" si="13"/>
        <v>219851</v>
      </c>
    </row>
    <row r="443" spans="1:41" x14ac:dyDescent="0.3">
      <c r="A443" s="2" t="s">
        <v>25</v>
      </c>
      <c r="B443" s="2">
        <v>13.009</v>
      </c>
      <c r="C443" s="2">
        <v>0</v>
      </c>
      <c r="D443" s="2"/>
      <c r="E443" s="2">
        <v>52</v>
      </c>
      <c r="F443" s="2"/>
      <c r="G443" s="2">
        <v>300</v>
      </c>
      <c r="H443" s="2"/>
      <c r="I443" s="2"/>
      <c r="J443" s="3">
        <f>IF(A443="Upgrade",IF(OR(H443=4,H443=5),VLOOKUP(I443,'Renewal Rates'!$A$22:$B$27,2,FALSE),2.7%),IF(A443="Renewal",100%,0%))</f>
        <v>0</v>
      </c>
      <c r="K443" s="7" t="s">
        <v>29</v>
      </c>
      <c r="L443" s="2">
        <v>377</v>
      </c>
      <c r="M443" s="2" t="s">
        <v>23</v>
      </c>
      <c r="N443" s="2" t="s">
        <v>24</v>
      </c>
      <c r="O443" s="4">
        <v>101998</v>
      </c>
      <c r="P443" s="4">
        <v>1962</v>
      </c>
      <c r="Q443" s="4">
        <v>37071</v>
      </c>
      <c r="R443" s="4">
        <v>146105</v>
      </c>
      <c r="S443" s="5">
        <v>0.4</v>
      </c>
      <c r="T443" s="4">
        <v>58442</v>
      </c>
      <c r="U443" s="4">
        <v>204547</v>
      </c>
      <c r="V443" s="6">
        <f t="shared" si="12"/>
        <v>0</v>
      </c>
      <c r="W443" s="6">
        <f t="shared" si="13"/>
        <v>204547</v>
      </c>
    </row>
    <row r="444" spans="1:41" x14ac:dyDescent="0.3">
      <c r="A444" s="2" t="s">
        <v>21</v>
      </c>
      <c r="B444" s="2">
        <v>13.019</v>
      </c>
      <c r="C444" s="2">
        <v>2000773539</v>
      </c>
      <c r="D444" s="2">
        <v>34.200000000000003</v>
      </c>
      <c r="E444" s="2"/>
      <c r="F444" s="2">
        <v>225</v>
      </c>
      <c r="G444" s="2">
        <v>375</v>
      </c>
      <c r="H444" s="2"/>
      <c r="I444" s="2"/>
      <c r="J444" s="3">
        <f>IF(A444="Upgrade",IF(OR(H444=4,H444=5),VLOOKUP(I444,'Renewal Rates'!$A$22:$B$27,2,FALSE),2.7%),IF(A444="Renewal",100%,0%))</f>
        <v>2.7000000000000003E-2</v>
      </c>
      <c r="K444" s="7" t="s">
        <v>29</v>
      </c>
      <c r="L444" s="2">
        <v>377</v>
      </c>
      <c r="M444" s="2" t="s">
        <v>23</v>
      </c>
      <c r="N444" s="2" t="s">
        <v>24</v>
      </c>
      <c r="O444" s="4">
        <v>68793</v>
      </c>
      <c r="P444" s="4">
        <v>2014</v>
      </c>
      <c r="Q444" s="4">
        <v>30523</v>
      </c>
      <c r="R444" s="4">
        <v>120296</v>
      </c>
      <c r="S444" s="5">
        <v>0.4</v>
      </c>
      <c r="T444" s="4">
        <v>48119</v>
      </c>
      <c r="U444" s="4">
        <v>168415</v>
      </c>
      <c r="V444" s="6">
        <f t="shared" si="12"/>
        <v>4547.2050000000008</v>
      </c>
      <c r="W444" s="6">
        <f t="shared" si="13"/>
        <v>163867.79500000001</v>
      </c>
    </row>
    <row r="445" spans="1:41" x14ac:dyDescent="0.3">
      <c r="A445" s="2" t="s">
        <v>21</v>
      </c>
      <c r="B445" s="2">
        <v>13.019</v>
      </c>
      <c r="C445" s="2">
        <v>2000123703</v>
      </c>
      <c r="D445" s="2">
        <v>19.600000000000001</v>
      </c>
      <c r="E445" s="2"/>
      <c r="F445" s="2">
        <v>225</v>
      </c>
      <c r="G445" s="2">
        <v>375</v>
      </c>
      <c r="H445" s="2"/>
      <c r="I445" s="2"/>
      <c r="J445" s="3">
        <f>IF(A445="Upgrade",IF(OR(H445=4,H445=5),VLOOKUP(I445,'Renewal Rates'!$A$22:$B$27,2,FALSE),2.7%),IF(A445="Renewal",100%,0%))</f>
        <v>2.7000000000000003E-2</v>
      </c>
      <c r="K445" s="7" t="s">
        <v>29</v>
      </c>
      <c r="L445" s="2">
        <v>377</v>
      </c>
      <c r="M445" s="2" t="s">
        <v>23</v>
      </c>
      <c r="N445" s="2" t="s">
        <v>24</v>
      </c>
      <c r="O445" s="4">
        <v>62984</v>
      </c>
      <c r="P445" s="4">
        <v>3210</v>
      </c>
      <c r="Q445" s="4">
        <v>22283</v>
      </c>
      <c r="R445" s="4">
        <v>87820</v>
      </c>
      <c r="S445" s="5">
        <v>0.4</v>
      </c>
      <c r="T445" s="4">
        <v>35128</v>
      </c>
      <c r="U445" s="4">
        <v>122948</v>
      </c>
      <c r="V445" s="6">
        <f t="shared" si="12"/>
        <v>3319.5960000000005</v>
      </c>
      <c r="W445" s="6">
        <f t="shared" si="13"/>
        <v>119628.40399999999</v>
      </c>
    </row>
    <row r="446" spans="1:41" x14ac:dyDescent="0.3">
      <c r="A446" s="2" t="s">
        <v>25</v>
      </c>
      <c r="B446" s="2">
        <v>13.007999999999999</v>
      </c>
      <c r="C446" s="2">
        <v>0</v>
      </c>
      <c r="D446" s="2"/>
      <c r="E446" s="2">
        <v>119.5</v>
      </c>
      <c r="F446" s="2"/>
      <c r="G446" s="2">
        <v>375</v>
      </c>
      <c r="H446" s="2"/>
      <c r="I446" s="2"/>
      <c r="J446" s="3">
        <f>IF(A446="Upgrade",IF(OR(H446=4,H446=5),VLOOKUP(I446,'Renewal Rates'!$A$22:$B$27,2,FALSE),2.7%),IF(A446="Renewal",100%,0%))</f>
        <v>0</v>
      </c>
      <c r="K446" s="7" t="s">
        <v>29</v>
      </c>
      <c r="L446" s="2">
        <v>377</v>
      </c>
      <c r="M446" s="2" t="s">
        <v>23</v>
      </c>
      <c r="N446" s="2" t="s">
        <v>24</v>
      </c>
      <c r="O446" s="4">
        <v>218144</v>
      </c>
      <c r="P446" s="4">
        <v>1825</v>
      </c>
      <c r="Q446" s="4">
        <v>85452</v>
      </c>
      <c r="R446" s="4">
        <v>336780</v>
      </c>
      <c r="S446" s="5">
        <v>0.4</v>
      </c>
      <c r="T446" s="4">
        <v>134712</v>
      </c>
      <c r="U446" s="4">
        <v>471493</v>
      </c>
      <c r="V446" s="6">
        <f t="shared" si="12"/>
        <v>0</v>
      </c>
      <c r="W446" s="6">
        <f t="shared" si="13"/>
        <v>471493</v>
      </c>
    </row>
    <row r="447" spans="1:41" x14ac:dyDescent="0.3">
      <c r="A447" s="2" t="s">
        <v>21</v>
      </c>
      <c r="B447" s="2">
        <v>13.023999999999999</v>
      </c>
      <c r="C447" s="2">
        <v>3000094340</v>
      </c>
      <c r="D447" s="2">
        <v>10.5</v>
      </c>
      <c r="E447" s="2"/>
      <c r="F447" s="2">
        <v>375</v>
      </c>
      <c r="G447" s="2">
        <v>750</v>
      </c>
      <c r="H447" s="2"/>
      <c r="I447" s="2"/>
      <c r="J447" s="3">
        <f>IF(A447="Upgrade",IF(OR(H447=4,H447=5),VLOOKUP(I447,'Renewal Rates'!$A$22:$B$27,2,FALSE),2.7%),IF(A447="Renewal",100%,0%))</f>
        <v>2.7000000000000003E-2</v>
      </c>
      <c r="K447" s="2" t="s">
        <v>37</v>
      </c>
      <c r="L447" s="2">
        <v>377</v>
      </c>
      <c r="M447" s="2" t="s">
        <v>23</v>
      </c>
      <c r="N447" s="2" t="s">
        <v>24</v>
      </c>
      <c r="O447" s="4">
        <v>83210</v>
      </c>
      <c r="P447" s="4">
        <v>7953</v>
      </c>
      <c r="Q447" s="4">
        <v>28291</v>
      </c>
      <c r="R447" s="4">
        <v>111502</v>
      </c>
      <c r="S447" s="5">
        <v>0.4</v>
      </c>
      <c r="T447" s="4">
        <v>44601</v>
      </c>
      <c r="U447" s="4">
        <v>156102</v>
      </c>
      <c r="V447" s="6">
        <f t="shared" si="12"/>
        <v>4214.7540000000008</v>
      </c>
      <c r="W447" s="6">
        <f t="shared" si="13"/>
        <v>151887.24599999998</v>
      </c>
    </row>
    <row r="448" spans="1:41" x14ac:dyDescent="0.3">
      <c r="A448" s="2" t="s">
        <v>21</v>
      </c>
      <c r="B448" s="2">
        <v>13.023999999999999</v>
      </c>
      <c r="C448" s="2">
        <v>2000949306</v>
      </c>
      <c r="D448" s="2">
        <v>92.6</v>
      </c>
      <c r="E448" s="2"/>
      <c r="F448" s="2">
        <v>375</v>
      </c>
      <c r="G448" s="2">
        <v>750</v>
      </c>
      <c r="H448" s="2"/>
      <c r="I448" s="2"/>
      <c r="J448" s="3">
        <f>IF(A448="Upgrade",IF(OR(H448=4,H448=5),VLOOKUP(I448,'Renewal Rates'!$A$22:$B$27,2,FALSE),2.7%),IF(A448="Renewal",100%,0%))</f>
        <v>2.7000000000000003E-2</v>
      </c>
      <c r="K448" s="2" t="s">
        <v>37</v>
      </c>
      <c r="L448" s="2">
        <v>377</v>
      </c>
      <c r="M448" s="2" t="s">
        <v>23</v>
      </c>
      <c r="N448" s="2" t="s">
        <v>24</v>
      </c>
      <c r="O448" s="4">
        <v>374925</v>
      </c>
      <c r="P448" s="4">
        <v>4048</v>
      </c>
      <c r="Q448" s="4">
        <v>127475</v>
      </c>
      <c r="R448" s="4">
        <v>502400</v>
      </c>
      <c r="S448" s="5">
        <v>0.4</v>
      </c>
      <c r="T448" s="4">
        <v>200960</v>
      </c>
      <c r="U448" s="4">
        <v>703359</v>
      </c>
      <c r="V448" s="6">
        <f t="shared" si="12"/>
        <v>18990.693000000003</v>
      </c>
      <c r="W448" s="6">
        <f t="shared" si="13"/>
        <v>684368.30700000003</v>
      </c>
    </row>
    <row r="449" spans="1:23" x14ac:dyDescent="0.3">
      <c r="A449" s="2" t="s">
        <v>21</v>
      </c>
      <c r="B449" s="2">
        <v>13.023</v>
      </c>
      <c r="C449" s="2">
        <v>2000515700</v>
      </c>
      <c r="D449" s="2">
        <v>55.8</v>
      </c>
      <c r="E449" s="2"/>
      <c r="F449" s="2">
        <v>300</v>
      </c>
      <c r="G449" s="2">
        <v>600</v>
      </c>
      <c r="H449" s="2"/>
      <c r="I449" s="2"/>
      <c r="J449" s="3">
        <f>IF(A449="Upgrade",IF(OR(H449=4,H449=5),VLOOKUP(I449,'Renewal Rates'!$A$22:$B$27,2,FALSE),2.7%),IF(A449="Renewal",100%,0%))</f>
        <v>2.7000000000000003E-2</v>
      </c>
      <c r="K449" s="2" t="s">
        <v>37</v>
      </c>
      <c r="L449" s="2">
        <v>377</v>
      </c>
      <c r="M449" s="2" t="s">
        <v>23</v>
      </c>
      <c r="N449" s="2" t="s">
        <v>24</v>
      </c>
      <c r="O449" s="4">
        <v>197322</v>
      </c>
      <c r="P449" s="4">
        <v>3536</v>
      </c>
      <c r="Q449" s="4">
        <v>67090</v>
      </c>
      <c r="R449" s="4">
        <v>264412</v>
      </c>
      <c r="S449" s="5">
        <v>0.4</v>
      </c>
      <c r="T449" s="4">
        <v>105765</v>
      </c>
      <c r="U449" s="4">
        <v>370177</v>
      </c>
      <c r="V449" s="6">
        <f t="shared" si="12"/>
        <v>9994.7790000000005</v>
      </c>
      <c r="W449" s="6">
        <f t="shared" si="13"/>
        <v>360182.22100000002</v>
      </c>
    </row>
    <row r="450" spans="1:23" x14ac:dyDescent="0.3">
      <c r="A450" s="2" t="s">
        <v>21</v>
      </c>
      <c r="B450" s="2">
        <v>13.015000000000001</v>
      </c>
      <c r="C450" s="2">
        <v>2000560867</v>
      </c>
      <c r="D450" s="2">
        <v>20</v>
      </c>
      <c r="E450" s="2"/>
      <c r="F450" s="2">
        <v>300</v>
      </c>
      <c r="G450" s="2">
        <v>825</v>
      </c>
      <c r="H450" s="2"/>
      <c r="I450" s="2"/>
      <c r="J450" s="3">
        <f>IF(A450="Upgrade",IF(OR(H450=4,H450=5),VLOOKUP(I450,'Renewal Rates'!$A$22:$B$27,2,FALSE),2.7%),IF(A450="Renewal",100%,0%))</f>
        <v>2.7000000000000003E-2</v>
      </c>
      <c r="K450" s="2" t="s">
        <v>22</v>
      </c>
      <c r="L450" s="2">
        <v>375</v>
      </c>
      <c r="M450" s="2" t="s">
        <v>23</v>
      </c>
      <c r="N450" s="2" t="s">
        <v>24</v>
      </c>
      <c r="O450" s="4">
        <v>118411</v>
      </c>
      <c r="P450" s="4">
        <v>5925</v>
      </c>
      <c r="Q450" s="4">
        <v>40260</v>
      </c>
      <c r="R450" s="4">
        <v>158671</v>
      </c>
      <c r="S450" s="5">
        <v>0.4</v>
      </c>
      <c r="T450" s="4">
        <v>63469</v>
      </c>
      <c r="U450" s="4">
        <v>222140</v>
      </c>
      <c r="V450" s="6">
        <f t="shared" si="12"/>
        <v>5997.7800000000007</v>
      </c>
      <c r="W450" s="6">
        <f t="shared" si="13"/>
        <v>216142.22</v>
      </c>
    </row>
    <row r="451" spans="1:23" x14ac:dyDescent="0.3">
      <c r="A451" s="2" t="s">
        <v>21</v>
      </c>
      <c r="B451" s="2">
        <v>13.015000000000001</v>
      </c>
      <c r="C451" s="2">
        <v>3000043178</v>
      </c>
      <c r="D451" s="2">
        <v>23.4</v>
      </c>
      <c r="E451" s="2"/>
      <c r="F451" s="2">
        <v>225</v>
      </c>
      <c r="G451" s="2">
        <v>825</v>
      </c>
      <c r="H451" s="2"/>
      <c r="I451" s="2"/>
      <c r="J451" s="3">
        <f>IF(A451="Upgrade",IF(OR(H451=4,H451=5),VLOOKUP(I451,'Renewal Rates'!$A$22:$B$27,2,FALSE),2.7%),IF(A451="Renewal",100%,0%))</f>
        <v>2.7000000000000003E-2</v>
      </c>
      <c r="K451" s="2" t="s">
        <v>22</v>
      </c>
      <c r="L451" s="2">
        <v>375</v>
      </c>
      <c r="M451" s="2" t="s">
        <v>23</v>
      </c>
      <c r="N451" s="2" t="s">
        <v>24</v>
      </c>
      <c r="O451" s="4">
        <v>123608</v>
      </c>
      <c r="P451" s="4">
        <v>5284</v>
      </c>
      <c r="Q451" s="4">
        <v>42027</v>
      </c>
      <c r="R451" s="4">
        <v>165635</v>
      </c>
      <c r="S451" s="5">
        <v>0.4</v>
      </c>
      <c r="T451" s="4">
        <v>66254</v>
      </c>
      <c r="U451" s="4">
        <v>231889</v>
      </c>
      <c r="V451" s="6">
        <f t="shared" ref="V451:V514" si="14">J451*U451</f>
        <v>6261.0030000000006</v>
      </c>
      <c r="W451" s="6">
        <f t="shared" ref="W451:W514" si="15">U451-V451</f>
        <v>225627.997</v>
      </c>
    </row>
    <row r="452" spans="1:23" x14ac:dyDescent="0.3">
      <c r="A452" s="2" t="s">
        <v>21</v>
      </c>
      <c r="B452" s="2">
        <v>13.022</v>
      </c>
      <c r="C452" s="2">
        <v>2000569877</v>
      </c>
      <c r="D452" s="2">
        <v>35.200000000000003</v>
      </c>
      <c r="E452" s="2"/>
      <c r="F452" s="2">
        <v>300</v>
      </c>
      <c r="G452" s="2">
        <v>750</v>
      </c>
      <c r="H452" s="2"/>
      <c r="I452" s="2"/>
      <c r="J452" s="3">
        <f>IF(A452="Upgrade",IF(OR(H452=4,H452=5),VLOOKUP(I452,'Renewal Rates'!$A$22:$B$27,2,FALSE),2.7%),IF(A452="Renewal",100%,0%))</f>
        <v>2.7000000000000003E-2</v>
      </c>
      <c r="K452" s="2" t="s">
        <v>22</v>
      </c>
      <c r="L452" s="2">
        <v>375</v>
      </c>
      <c r="M452" s="2" t="s">
        <v>23</v>
      </c>
      <c r="N452" s="2" t="s">
        <v>24</v>
      </c>
      <c r="O452" s="4">
        <v>249294</v>
      </c>
      <c r="P452" s="4">
        <v>7086</v>
      </c>
      <c r="Q452" s="4">
        <v>84760</v>
      </c>
      <c r="R452" s="4">
        <v>334054</v>
      </c>
      <c r="S452" s="5">
        <v>0.4</v>
      </c>
      <c r="T452" s="4">
        <v>133622</v>
      </c>
      <c r="U452" s="4">
        <v>467676</v>
      </c>
      <c r="V452" s="6">
        <f t="shared" si="14"/>
        <v>12627.252000000002</v>
      </c>
      <c r="W452" s="6">
        <f t="shared" si="15"/>
        <v>455048.74800000002</v>
      </c>
    </row>
    <row r="453" spans="1:23" x14ac:dyDescent="0.3">
      <c r="A453" s="2" t="s">
        <v>21</v>
      </c>
      <c r="B453" s="2">
        <v>13.021000000000001</v>
      </c>
      <c r="C453" s="2">
        <v>2000041321</v>
      </c>
      <c r="D453" s="2">
        <v>37.799999999999997</v>
      </c>
      <c r="E453" s="2"/>
      <c r="F453" s="2">
        <v>225</v>
      </c>
      <c r="G453" s="2">
        <v>675</v>
      </c>
      <c r="H453" s="2"/>
      <c r="I453" s="2"/>
      <c r="J453" s="3">
        <f>IF(A453="Upgrade",IF(OR(H453=4,H453=5),VLOOKUP(I453,'Renewal Rates'!$A$22:$B$27,2,FALSE),2.7%),IF(A453="Renewal",100%,0%))</f>
        <v>2.7000000000000003E-2</v>
      </c>
      <c r="K453" s="2" t="s">
        <v>22</v>
      </c>
      <c r="L453" s="2">
        <v>375</v>
      </c>
      <c r="M453" s="2" t="s">
        <v>23</v>
      </c>
      <c r="N453" s="2" t="s">
        <v>24</v>
      </c>
      <c r="O453" s="4">
        <v>153563</v>
      </c>
      <c r="P453" s="4">
        <v>4062</v>
      </c>
      <c r="Q453" s="4">
        <v>52211</v>
      </c>
      <c r="R453" s="4">
        <v>205774</v>
      </c>
      <c r="S453" s="5">
        <v>0.4</v>
      </c>
      <c r="T453" s="4">
        <v>82310</v>
      </c>
      <c r="U453" s="4">
        <v>288084</v>
      </c>
      <c r="V453" s="6">
        <f t="shared" si="14"/>
        <v>7778.2680000000009</v>
      </c>
      <c r="W453" s="6">
        <f t="shared" si="15"/>
        <v>280305.73200000002</v>
      </c>
    </row>
    <row r="454" spans="1:23" x14ac:dyDescent="0.3">
      <c r="A454" s="2" t="s">
        <v>21</v>
      </c>
      <c r="B454" s="2">
        <v>13.021000000000001</v>
      </c>
      <c r="C454" s="2">
        <v>2000702984</v>
      </c>
      <c r="D454" s="2">
        <v>44.8</v>
      </c>
      <c r="E454" s="2"/>
      <c r="F454" s="2">
        <v>225</v>
      </c>
      <c r="G454" s="2">
        <v>675</v>
      </c>
      <c r="H454" s="2"/>
      <c r="I454" s="2"/>
      <c r="J454" s="3">
        <f>IF(A454="Upgrade",IF(OR(H454=4,H454=5),VLOOKUP(I454,'Renewal Rates'!$A$22:$B$27,2,FALSE),2.7%),IF(A454="Renewal",100%,0%))</f>
        <v>2.7000000000000003E-2</v>
      </c>
      <c r="K454" s="2" t="s">
        <v>22</v>
      </c>
      <c r="L454" s="2">
        <v>375</v>
      </c>
      <c r="M454" s="2" t="s">
        <v>23</v>
      </c>
      <c r="N454" s="2" t="s">
        <v>24</v>
      </c>
      <c r="O454" s="4">
        <v>181329</v>
      </c>
      <c r="P454" s="4">
        <v>4050</v>
      </c>
      <c r="Q454" s="4">
        <v>61652</v>
      </c>
      <c r="R454" s="4">
        <v>242981</v>
      </c>
      <c r="S454" s="5">
        <v>0.4</v>
      </c>
      <c r="T454" s="4">
        <v>97192</v>
      </c>
      <c r="U454" s="4">
        <v>340173</v>
      </c>
      <c r="V454" s="6">
        <f t="shared" si="14"/>
        <v>9184.6710000000003</v>
      </c>
      <c r="W454" s="6">
        <f t="shared" si="15"/>
        <v>330988.32900000003</v>
      </c>
    </row>
    <row r="455" spans="1:23" x14ac:dyDescent="0.3">
      <c r="A455" s="2" t="s">
        <v>25</v>
      </c>
      <c r="B455" s="2">
        <v>13.007</v>
      </c>
      <c r="C455" s="2"/>
      <c r="D455" s="2"/>
      <c r="E455" s="2">
        <v>57.4</v>
      </c>
      <c r="F455" s="2"/>
      <c r="G455" s="2">
        <v>375</v>
      </c>
      <c r="H455" s="2"/>
      <c r="I455" s="2"/>
      <c r="J455" s="3">
        <f>IF(A455="Upgrade",IF(OR(H455=4,H455=5),VLOOKUP(I455,'Renewal Rates'!$A$22:$B$27,2,FALSE),2.7%),IF(A455="Renewal",100%,0%))</f>
        <v>0</v>
      </c>
      <c r="K455" s="2" t="s">
        <v>22</v>
      </c>
      <c r="L455" s="2">
        <v>375</v>
      </c>
      <c r="M455" s="2" t="s">
        <v>23</v>
      </c>
      <c r="N455" s="2" t="s">
        <v>24</v>
      </c>
      <c r="O455" s="4">
        <v>135502</v>
      </c>
      <c r="P455" s="4">
        <v>2361</v>
      </c>
      <c r="Q455" s="4">
        <v>46071</v>
      </c>
      <c r="R455" s="4">
        <v>181572</v>
      </c>
      <c r="S455" s="5">
        <v>0.4</v>
      </c>
      <c r="T455" s="4">
        <v>72629</v>
      </c>
      <c r="U455" s="4">
        <v>254201</v>
      </c>
      <c r="V455" s="6">
        <f t="shared" si="14"/>
        <v>0</v>
      </c>
      <c r="W455" s="6">
        <f t="shared" si="15"/>
        <v>254201</v>
      </c>
    </row>
    <row r="456" spans="1:23" x14ac:dyDescent="0.3">
      <c r="A456" s="2" t="s">
        <v>21</v>
      </c>
      <c r="B456" s="2">
        <v>13.016999999999999</v>
      </c>
      <c r="C456" s="2">
        <v>2000199190</v>
      </c>
      <c r="D456" s="2">
        <v>44.8</v>
      </c>
      <c r="E456" s="2"/>
      <c r="F456" s="2">
        <v>600</v>
      </c>
      <c r="G456" s="2">
        <v>1125</v>
      </c>
      <c r="H456" s="2">
        <v>5</v>
      </c>
      <c r="I456" s="2">
        <v>2</v>
      </c>
      <c r="J456" s="3">
        <f>IF(A456="Upgrade",IF(OR(H456=4,H456=5),VLOOKUP(I456,'Renewal Rates'!$A$22:$B$27,2,FALSE),2.7%),IF(A456="Renewal",100%,0%))</f>
        <v>0</v>
      </c>
      <c r="K456" s="7" t="s">
        <v>32</v>
      </c>
      <c r="L456" s="2">
        <v>377</v>
      </c>
      <c r="M456" s="2" t="s">
        <v>23</v>
      </c>
      <c r="N456" s="2" t="s">
        <v>24</v>
      </c>
      <c r="O456" s="4">
        <v>264706</v>
      </c>
      <c r="P456" s="4">
        <v>5902</v>
      </c>
      <c r="Q456" s="4">
        <v>109864</v>
      </c>
      <c r="R456" s="4">
        <v>432995</v>
      </c>
      <c r="S456" s="5">
        <v>0.4</v>
      </c>
      <c r="T456" s="4">
        <v>173198</v>
      </c>
      <c r="U456" s="4">
        <v>606192</v>
      </c>
      <c r="V456" s="6">
        <f t="shared" si="14"/>
        <v>0</v>
      </c>
      <c r="W456" s="6">
        <f t="shared" si="15"/>
        <v>606192</v>
      </c>
    </row>
    <row r="457" spans="1:23" x14ac:dyDescent="0.3">
      <c r="A457" s="2" t="s">
        <v>21</v>
      </c>
      <c r="B457" s="2">
        <v>13.016999999999999</v>
      </c>
      <c r="C457" s="2">
        <v>2000546593</v>
      </c>
      <c r="D457" s="2">
        <v>55</v>
      </c>
      <c r="E457" s="2"/>
      <c r="F457" s="2">
        <v>600</v>
      </c>
      <c r="G457" s="2">
        <v>1125</v>
      </c>
      <c r="H457" s="2">
        <v>5</v>
      </c>
      <c r="I457" s="2">
        <v>2</v>
      </c>
      <c r="J457" s="3">
        <f>IF(A457="Upgrade",IF(OR(H457=4,H457=5),VLOOKUP(I457,'Renewal Rates'!$A$22:$B$27,2,FALSE),2.7%),IF(A457="Renewal",100%,0%))</f>
        <v>0</v>
      </c>
      <c r="K457" s="7" t="s">
        <v>32</v>
      </c>
      <c r="L457" s="2">
        <v>377</v>
      </c>
      <c r="M457" s="2" t="s">
        <v>23</v>
      </c>
      <c r="N457" s="2" t="s">
        <v>24</v>
      </c>
      <c r="O457" s="4">
        <v>351806</v>
      </c>
      <c r="P457" s="4">
        <v>6391</v>
      </c>
      <c r="Q457" s="4">
        <v>151276</v>
      </c>
      <c r="R457" s="4">
        <v>596207</v>
      </c>
      <c r="S457" s="5">
        <v>0.4</v>
      </c>
      <c r="T457" s="4">
        <v>238483</v>
      </c>
      <c r="U457" s="4">
        <v>834690</v>
      </c>
      <c r="V457" s="6">
        <f t="shared" si="14"/>
        <v>0</v>
      </c>
      <c r="W457" s="6">
        <f t="shared" si="15"/>
        <v>834690</v>
      </c>
    </row>
    <row r="458" spans="1:23" x14ac:dyDescent="0.3">
      <c r="A458" s="2" t="s">
        <v>21</v>
      </c>
      <c r="B458" s="2">
        <v>13.010999999999999</v>
      </c>
      <c r="C458" s="2">
        <v>2000321440</v>
      </c>
      <c r="D458" s="2">
        <v>40.4</v>
      </c>
      <c r="E458" s="2"/>
      <c r="F458" s="2">
        <v>600</v>
      </c>
      <c r="G458" s="2">
        <v>1050</v>
      </c>
      <c r="H458" s="2">
        <v>4</v>
      </c>
      <c r="I458" s="2">
        <v>3</v>
      </c>
      <c r="J458" s="3">
        <f>IF(A458="Upgrade",IF(OR(H458=4,H458=5),VLOOKUP(I458,'Renewal Rates'!$A$22:$B$27,2,FALSE),2.7%),IF(A458="Renewal",100%,0%))</f>
        <v>0.21</v>
      </c>
      <c r="K458" s="7" t="s">
        <v>32</v>
      </c>
      <c r="L458" s="2">
        <v>377</v>
      </c>
      <c r="M458" s="2" t="s">
        <v>23</v>
      </c>
      <c r="N458" s="2" t="s">
        <v>24</v>
      </c>
      <c r="O458" s="4">
        <v>208661</v>
      </c>
      <c r="P458" s="4">
        <v>5165</v>
      </c>
      <c r="Q458" s="4">
        <v>88970</v>
      </c>
      <c r="R458" s="4">
        <v>350646</v>
      </c>
      <c r="S458" s="5">
        <v>0.4</v>
      </c>
      <c r="T458" s="4">
        <v>140259</v>
      </c>
      <c r="U458" s="4">
        <v>490905</v>
      </c>
      <c r="V458" s="6">
        <f t="shared" si="14"/>
        <v>103090.05</v>
      </c>
      <c r="W458" s="6">
        <f t="shared" si="15"/>
        <v>387814.95</v>
      </c>
    </row>
    <row r="459" spans="1:23" x14ac:dyDescent="0.3">
      <c r="A459" s="2" t="s">
        <v>21</v>
      </c>
      <c r="B459" s="2">
        <v>13.010999999999999</v>
      </c>
      <c r="C459" s="2">
        <v>2000091243</v>
      </c>
      <c r="D459" s="2">
        <v>65.099999999999994</v>
      </c>
      <c r="E459" s="2"/>
      <c r="F459" s="2">
        <v>600</v>
      </c>
      <c r="G459" s="2">
        <v>1050</v>
      </c>
      <c r="H459" s="2">
        <v>4</v>
      </c>
      <c r="I459" s="2">
        <v>3</v>
      </c>
      <c r="J459" s="3">
        <f>IF(A459="Upgrade",IF(OR(H459=4,H459=5),VLOOKUP(I459,'Renewal Rates'!$A$22:$B$27,2,FALSE),2.7%),IF(A459="Renewal",100%,0%))</f>
        <v>0.21</v>
      </c>
      <c r="K459" s="7" t="s">
        <v>32</v>
      </c>
      <c r="L459" s="2">
        <v>377</v>
      </c>
      <c r="M459" s="2" t="s">
        <v>23</v>
      </c>
      <c r="N459" s="2" t="s">
        <v>24</v>
      </c>
      <c r="O459" s="4">
        <v>329114</v>
      </c>
      <c r="P459" s="4">
        <v>5057</v>
      </c>
      <c r="Q459" s="4">
        <v>149792</v>
      </c>
      <c r="R459" s="4">
        <v>590358</v>
      </c>
      <c r="S459" s="5">
        <v>0.4</v>
      </c>
      <c r="T459" s="4">
        <v>236143</v>
      </c>
      <c r="U459" s="4">
        <v>826501</v>
      </c>
      <c r="V459" s="6">
        <f t="shared" si="14"/>
        <v>173565.21</v>
      </c>
      <c r="W459" s="6">
        <f t="shared" si="15"/>
        <v>652935.79</v>
      </c>
    </row>
    <row r="460" spans="1:23" x14ac:dyDescent="0.3">
      <c r="A460" s="2" t="s">
        <v>21</v>
      </c>
      <c r="B460" s="2">
        <v>13.013</v>
      </c>
      <c r="C460" s="2">
        <v>2000904152</v>
      </c>
      <c r="D460" s="2">
        <v>41.5</v>
      </c>
      <c r="E460" s="2"/>
      <c r="F460" s="2">
        <v>375</v>
      </c>
      <c r="G460" s="2">
        <v>750</v>
      </c>
      <c r="H460" s="2">
        <v>4</v>
      </c>
      <c r="I460" s="2">
        <v>4</v>
      </c>
      <c r="J460" s="3">
        <f>IF(A460="Upgrade",IF(OR(H460=4,H460=5),VLOOKUP(I460,'Renewal Rates'!$A$22:$B$27,2,FALSE),2.7%),IF(A460="Renewal",100%,0%))</f>
        <v>0.7</v>
      </c>
      <c r="K460" s="7" t="s">
        <v>32</v>
      </c>
      <c r="L460" s="2">
        <v>377</v>
      </c>
      <c r="M460" s="2" t="s">
        <v>23</v>
      </c>
      <c r="N460" s="2" t="s">
        <v>24</v>
      </c>
      <c r="O460" s="4">
        <v>161592</v>
      </c>
      <c r="P460" s="4">
        <v>3890</v>
      </c>
      <c r="Q460" s="4">
        <v>70441</v>
      </c>
      <c r="R460" s="4">
        <v>277621</v>
      </c>
      <c r="S460" s="5">
        <v>0.4</v>
      </c>
      <c r="T460" s="4">
        <v>111049</v>
      </c>
      <c r="U460" s="4">
        <v>388670</v>
      </c>
      <c r="V460" s="6">
        <f t="shared" si="14"/>
        <v>272069</v>
      </c>
      <c r="W460" s="6">
        <f t="shared" si="15"/>
        <v>116601</v>
      </c>
    </row>
    <row r="461" spans="1:23" x14ac:dyDescent="0.3">
      <c r="A461" s="2" t="s">
        <v>25</v>
      </c>
      <c r="B461" s="2">
        <v>13.005000000000001</v>
      </c>
      <c r="C461" s="2">
        <v>0</v>
      </c>
      <c r="D461" s="2"/>
      <c r="E461" s="2">
        <v>176.7</v>
      </c>
      <c r="F461" s="2"/>
      <c r="G461" s="2">
        <v>675</v>
      </c>
      <c r="H461" s="2"/>
      <c r="I461" s="2"/>
      <c r="J461" s="3">
        <f>IF(A461="Upgrade",IF(OR(H461=4,H461=5),VLOOKUP(I461,'Renewal Rates'!$A$22:$B$27,2,FALSE),2.7%),IF(A461="Renewal",100%,0%))</f>
        <v>0</v>
      </c>
      <c r="K461" s="7" t="s">
        <v>32</v>
      </c>
      <c r="L461" s="2">
        <v>377</v>
      </c>
      <c r="M461" s="2" t="s">
        <v>23</v>
      </c>
      <c r="N461" s="2" t="s">
        <v>24</v>
      </c>
      <c r="O461" s="4">
        <v>528865</v>
      </c>
      <c r="P461" s="4">
        <v>2992</v>
      </c>
      <c r="Q461" s="4">
        <v>220101</v>
      </c>
      <c r="R461" s="4">
        <v>867457</v>
      </c>
      <c r="S461" s="5">
        <v>0.4</v>
      </c>
      <c r="T461" s="4">
        <v>346983</v>
      </c>
      <c r="U461" s="4">
        <v>1214440</v>
      </c>
      <c r="V461" s="6">
        <f t="shared" si="14"/>
        <v>0</v>
      </c>
      <c r="W461" s="6">
        <f t="shared" si="15"/>
        <v>1214440</v>
      </c>
    </row>
    <row r="462" spans="1:23" x14ac:dyDescent="0.3">
      <c r="A462" s="2" t="s">
        <v>21</v>
      </c>
      <c r="B462" s="2">
        <v>13.013999999999999</v>
      </c>
      <c r="C462" s="2">
        <v>2000133916</v>
      </c>
      <c r="D462" s="2">
        <v>64</v>
      </c>
      <c r="E462" s="2"/>
      <c r="F462" s="2">
        <v>225</v>
      </c>
      <c r="G462" s="2">
        <v>525</v>
      </c>
      <c r="H462" s="2"/>
      <c r="I462" s="2"/>
      <c r="J462" s="3">
        <f>IF(A462="Upgrade",IF(OR(H462=4,H462=5),VLOOKUP(I462,'Renewal Rates'!$A$22:$B$27,2,FALSE),2.7%),IF(A462="Renewal",100%,0%))</f>
        <v>2.7000000000000003E-2</v>
      </c>
      <c r="K462" s="2" t="s">
        <v>22</v>
      </c>
      <c r="L462" s="2">
        <v>377</v>
      </c>
      <c r="M462" s="2" t="s">
        <v>23</v>
      </c>
      <c r="N462" s="2" t="s">
        <v>24</v>
      </c>
      <c r="O462" s="4">
        <v>196397</v>
      </c>
      <c r="P462" s="4">
        <v>3070</v>
      </c>
      <c r="Q462" s="4">
        <v>66775</v>
      </c>
      <c r="R462" s="4">
        <v>263172</v>
      </c>
      <c r="S462" s="5">
        <v>0.4</v>
      </c>
      <c r="T462" s="4">
        <v>105269</v>
      </c>
      <c r="U462" s="4">
        <v>368441</v>
      </c>
      <c r="V462" s="6">
        <f t="shared" si="14"/>
        <v>9947.9070000000011</v>
      </c>
      <c r="W462" s="6">
        <f t="shared" si="15"/>
        <v>358493.09299999999</v>
      </c>
    </row>
    <row r="463" spans="1:23" x14ac:dyDescent="0.3">
      <c r="A463" s="2" t="s">
        <v>25</v>
      </c>
      <c r="B463" s="2">
        <v>13.003</v>
      </c>
      <c r="C463" s="2"/>
      <c r="D463" s="2"/>
      <c r="E463" s="2">
        <v>78.3</v>
      </c>
      <c r="F463" s="2"/>
      <c r="G463" s="2">
        <v>600</v>
      </c>
      <c r="H463" s="2"/>
      <c r="I463" s="2"/>
      <c r="J463" s="3">
        <f>IF(A463="Upgrade",IF(OR(H463=4,H463=5),VLOOKUP(I463,'Renewal Rates'!$A$22:$B$27,2,FALSE),2.7%),IF(A463="Renewal",100%,0%))</f>
        <v>0</v>
      </c>
      <c r="K463" s="2" t="s">
        <v>22</v>
      </c>
      <c r="L463" s="2">
        <v>377</v>
      </c>
      <c r="M463" s="2" t="s">
        <v>23</v>
      </c>
      <c r="N463" s="2" t="s">
        <v>24</v>
      </c>
      <c r="O463" s="4">
        <v>243076</v>
      </c>
      <c r="P463" s="4">
        <v>3105</v>
      </c>
      <c r="Q463" s="4">
        <v>82646</v>
      </c>
      <c r="R463" s="4">
        <v>325722</v>
      </c>
      <c r="S463" s="5">
        <v>0.4</v>
      </c>
      <c r="T463" s="4">
        <v>130289</v>
      </c>
      <c r="U463" s="4">
        <v>456010</v>
      </c>
      <c r="V463" s="6">
        <f t="shared" si="14"/>
        <v>0</v>
      </c>
      <c r="W463" s="6">
        <f t="shared" si="15"/>
        <v>456010</v>
      </c>
    </row>
    <row r="464" spans="1:23" x14ac:dyDescent="0.3">
      <c r="A464" s="2" t="s">
        <v>25</v>
      </c>
      <c r="B464" s="2">
        <v>13.004</v>
      </c>
      <c r="C464" s="7">
        <v>0</v>
      </c>
      <c r="D464" s="2"/>
      <c r="E464" s="2">
        <v>50.7</v>
      </c>
      <c r="F464" s="2">
        <v>50.7</v>
      </c>
      <c r="G464" s="2">
        <v>450</v>
      </c>
      <c r="H464" s="2"/>
      <c r="I464" s="2"/>
      <c r="J464" s="3">
        <f>IF(A464="Upgrade",IF(OR(H464=4,H464=5),VLOOKUP(I464,'Renewal Rates'!$A$22:$B$27,2,FALSE),2.7%),IF(A464="Renewal",100%,0%))</f>
        <v>0</v>
      </c>
      <c r="K464" s="2" t="s">
        <v>22</v>
      </c>
      <c r="L464" s="2"/>
      <c r="M464" s="2" t="s">
        <v>23</v>
      </c>
      <c r="N464" s="2" t="s">
        <v>24</v>
      </c>
      <c r="O464" s="4">
        <v>158183</v>
      </c>
      <c r="P464" s="4">
        <v>3120</v>
      </c>
      <c r="Q464" s="4">
        <v>53782</v>
      </c>
      <c r="R464" s="4">
        <v>211965</v>
      </c>
      <c r="S464" s="5">
        <v>0.4</v>
      </c>
      <c r="T464" s="4">
        <v>84786</v>
      </c>
      <c r="U464" s="4">
        <v>296751</v>
      </c>
      <c r="V464" s="6">
        <f t="shared" si="14"/>
        <v>0</v>
      </c>
      <c r="W464" s="6">
        <f t="shared" si="15"/>
        <v>296751</v>
      </c>
    </row>
    <row r="465" spans="1:23" x14ac:dyDescent="0.3">
      <c r="A465" s="2" t="s">
        <v>21</v>
      </c>
      <c r="B465" s="2">
        <v>13.012</v>
      </c>
      <c r="C465" s="2">
        <v>2000063038</v>
      </c>
      <c r="D465" s="2">
        <v>31.9</v>
      </c>
      <c r="E465" s="2"/>
      <c r="F465" s="2">
        <v>225</v>
      </c>
      <c r="G465" s="2">
        <v>525</v>
      </c>
      <c r="H465" s="2"/>
      <c r="I465" s="2"/>
      <c r="J465" s="3">
        <f>IF(A465="Upgrade",IF(OR(H465=4,H465=5),VLOOKUP(I465,'Renewal Rates'!$A$22:$B$27,2,FALSE),2.7%),IF(A465="Renewal",100%,0%))</f>
        <v>2.7000000000000003E-2</v>
      </c>
      <c r="K465" s="2" t="s">
        <v>22</v>
      </c>
      <c r="L465" s="2">
        <v>377</v>
      </c>
      <c r="M465" s="2" t="s">
        <v>23</v>
      </c>
      <c r="N465" s="2" t="s">
        <v>24</v>
      </c>
      <c r="O465" s="4">
        <v>110644</v>
      </c>
      <c r="P465" s="4">
        <v>3469</v>
      </c>
      <c r="Q465" s="4">
        <v>37619</v>
      </c>
      <c r="R465" s="4">
        <v>148263</v>
      </c>
      <c r="S465" s="5">
        <v>0.4</v>
      </c>
      <c r="T465" s="4">
        <v>59305</v>
      </c>
      <c r="U465" s="4">
        <v>207568</v>
      </c>
      <c r="V465" s="6">
        <f t="shared" si="14"/>
        <v>5604.3360000000002</v>
      </c>
      <c r="W465" s="6">
        <f t="shared" si="15"/>
        <v>201963.66399999999</v>
      </c>
    </row>
    <row r="466" spans="1:23" x14ac:dyDescent="0.3">
      <c r="A466" s="2" t="s">
        <v>21</v>
      </c>
      <c r="B466" s="2">
        <v>13.012</v>
      </c>
      <c r="C466" s="2">
        <v>2000644075</v>
      </c>
      <c r="D466" s="2">
        <v>20.6</v>
      </c>
      <c r="E466" s="2"/>
      <c r="F466" s="2">
        <v>225</v>
      </c>
      <c r="G466" s="2">
        <v>525</v>
      </c>
      <c r="H466" s="2"/>
      <c r="I466" s="2"/>
      <c r="J466" s="3">
        <f>IF(A466="Upgrade",IF(OR(H466=4,H466=5),VLOOKUP(I466,'Renewal Rates'!$A$22:$B$27,2,FALSE),2.7%),IF(A466="Renewal",100%,0%))</f>
        <v>2.7000000000000003E-2</v>
      </c>
      <c r="K466" s="2" t="s">
        <v>22</v>
      </c>
      <c r="L466" s="2">
        <v>377</v>
      </c>
      <c r="M466" s="2" t="s">
        <v>23</v>
      </c>
      <c r="N466" s="2" t="s">
        <v>24</v>
      </c>
      <c r="O466" s="4">
        <v>81364</v>
      </c>
      <c r="P466" s="4">
        <v>3946</v>
      </c>
      <c r="Q466" s="4">
        <v>27664</v>
      </c>
      <c r="R466" s="4">
        <v>109027</v>
      </c>
      <c r="S466" s="5">
        <v>0.4</v>
      </c>
      <c r="T466" s="4">
        <v>43611</v>
      </c>
      <c r="U466" s="4">
        <v>152638</v>
      </c>
      <c r="V466" s="6">
        <f t="shared" si="14"/>
        <v>4121.2260000000006</v>
      </c>
      <c r="W466" s="6">
        <f t="shared" si="15"/>
        <v>148516.774</v>
      </c>
    </row>
    <row r="467" spans="1:23" x14ac:dyDescent="0.3">
      <c r="A467" s="2" t="s">
        <v>21</v>
      </c>
      <c r="B467" s="2">
        <v>13.010999999999999</v>
      </c>
      <c r="C467" s="2">
        <v>2000655276</v>
      </c>
      <c r="D467" s="2">
        <v>17.5</v>
      </c>
      <c r="E467" s="2"/>
      <c r="F467" s="2">
        <v>375</v>
      </c>
      <c r="G467" s="2">
        <v>1050</v>
      </c>
      <c r="H467" s="2"/>
      <c r="I467" s="2"/>
      <c r="J467" s="3">
        <f>IF(A467="Upgrade",IF(OR(H467=4,H467=5),VLOOKUP(I467,'Renewal Rates'!$A$22:$B$27,2,FALSE),2.7%),IF(A467="Renewal",100%,0%))</f>
        <v>2.7000000000000003E-2</v>
      </c>
      <c r="K467" s="2" t="s">
        <v>22</v>
      </c>
      <c r="L467" s="2">
        <v>377</v>
      </c>
      <c r="M467" s="2" t="s">
        <v>23</v>
      </c>
      <c r="N467" s="2" t="s">
        <v>24</v>
      </c>
      <c r="O467" s="4">
        <v>147251</v>
      </c>
      <c r="P467" s="4">
        <v>8426</v>
      </c>
      <c r="Q467" s="4">
        <v>50065</v>
      </c>
      <c r="R467" s="4">
        <v>197316</v>
      </c>
      <c r="S467" s="5">
        <v>0.4</v>
      </c>
      <c r="T467" s="4">
        <v>78926</v>
      </c>
      <c r="U467" s="4">
        <v>276242</v>
      </c>
      <c r="V467" s="6">
        <f t="shared" si="14"/>
        <v>7458.5340000000006</v>
      </c>
      <c r="W467" s="6">
        <f t="shared" si="15"/>
        <v>268783.46600000001</v>
      </c>
    </row>
    <row r="468" spans="1:23" x14ac:dyDescent="0.3">
      <c r="A468" s="2" t="s">
        <v>21</v>
      </c>
      <c r="B468" s="2">
        <v>13.01</v>
      </c>
      <c r="C468" s="2">
        <v>2000216006</v>
      </c>
      <c r="D468" s="2">
        <v>60.5</v>
      </c>
      <c r="E468" s="2"/>
      <c r="F468" s="2">
        <v>375</v>
      </c>
      <c r="G468" s="2">
        <v>825</v>
      </c>
      <c r="H468" s="2">
        <v>4</v>
      </c>
      <c r="I468" s="2">
        <v>3</v>
      </c>
      <c r="J468" s="3">
        <f>IF(A468="Upgrade",IF(OR(H468=4,H468=5),VLOOKUP(I468,'Renewal Rates'!$A$22:$B$27,2,FALSE),2.7%),IF(A468="Renewal",100%,0%))</f>
        <v>0.21</v>
      </c>
      <c r="K468" s="2" t="s">
        <v>22</v>
      </c>
      <c r="L468" s="2">
        <v>377</v>
      </c>
      <c r="M468" s="2" t="s">
        <v>23</v>
      </c>
      <c r="N468" s="2" t="s">
        <v>24</v>
      </c>
      <c r="O468" s="4">
        <v>281960</v>
      </c>
      <c r="P468" s="4">
        <v>4659</v>
      </c>
      <c r="Q468" s="4">
        <v>95866</v>
      </c>
      <c r="R468" s="4">
        <v>377826</v>
      </c>
      <c r="S468" s="5">
        <v>0.4</v>
      </c>
      <c r="T468" s="4">
        <v>151130</v>
      </c>
      <c r="U468" s="4">
        <v>528956</v>
      </c>
      <c r="V468" s="6">
        <f t="shared" si="14"/>
        <v>111080.76</v>
      </c>
      <c r="W468" s="6">
        <f t="shared" si="15"/>
        <v>417875.24</v>
      </c>
    </row>
    <row r="469" spans="1:23" x14ac:dyDescent="0.3">
      <c r="A469" s="2" t="s">
        <v>21</v>
      </c>
      <c r="B469" s="2">
        <v>13.01</v>
      </c>
      <c r="C469" s="2">
        <v>2000710550</v>
      </c>
      <c r="D469" s="2">
        <v>39.700000000000003</v>
      </c>
      <c r="E469" s="2"/>
      <c r="F469" s="2">
        <v>300</v>
      </c>
      <c r="G469" s="2">
        <v>825</v>
      </c>
      <c r="H469" s="2"/>
      <c r="I469" s="2"/>
      <c r="J469" s="3">
        <f>IF(A469="Upgrade",IF(OR(H469=4,H469=5),VLOOKUP(I469,'Renewal Rates'!$A$22:$B$27,2,FALSE),2.7%),IF(A469="Renewal",100%,0%))</f>
        <v>2.7000000000000003E-2</v>
      </c>
      <c r="K469" s="2" t="s">
        <v>22</v>
      </c>
      <c r="L469" s="2">
        <v>377</v>
      </c>
      <c r="M469" s="2" t="s">
        <v>23</v>
      </c>
      <c r="N469" s="2" t="s">
        <v>24</v>
      </c>
      <c r="O469" s="4">
        <v>187367</v>
      </c>
      <c r="P469" s="4">
        <v>4717</v>
      </c>
      <c r="Q469" s="4">
        <v>63705</v>
      </c>
      <c r="R469" s="4">
        <v>251072</v>
      </c>
      <c r="S469" s="5">
        <v>0.4</v>
      </c>
      <c r="T469" s="4">
        <v>100429</v>
      </c>
      <c r="U469" s="4">
        <v>351501</v>
      </c>
      <c r="V469" s="6">
        <f t="shared" si="14"/>
        <v>9490.5270000000019</v>
      </c>
      <c r="W469" s="6">
        <f t="shared" si="15"/>
        <v>342010.473</v>
      </c>
    </row>
    <row r="470" spans="1:23" x14ac:dyDescent="0.3">
      <c r="A470" s="2" t="s">
        <v>21</v>
      </c>
      <c r="B470" s="2">
        <v>13.01</v>
      </c>
      <c r="C470" s="2">
        <v>3000095931</v>
      </c>
      <c r="D470" s="2">
        <v>7</v>
      </c>
      <c r="E470" s="2"/>
      <c r="F470" s="2">
        <v>300</v>
      </c>
      <c r="G470" s="2">
        <v>825</v>
      </c>
      <c r="H470" s="2"/>
      <c r="I470" s="2"/>
      <c r="J470" s="3">
        <f>IF(A470="Upgrade",IF(OR(H470=4,H470=5),VLOOKUP(I470,'Renewal Rates'!$A$22:$B$27,2,FALSE),2.7%),IF(A470="Renewal",100%,0%))</f>
        <v>2.7000000000000003E-2</v>
      </c>
      <c r="K470" s="2" t="s">
        <v>22</v>
      </c>
      <c r="L470" s="2">
        <v>377</v>
      </c>
      <c r="M470" s="2" t="s">
        <v>23</v>
      </c>
      <c r="N470" s="2" t="s">
        <v>24</v>
      </c>
      <c r="O470" s="4">
        <v>83077</v>
      </c>
      <c r="P470" s="4">
        <v>11948</v>
      </c>
      <c r="Q470" s="4">
        <v>28246</v>
      </c>
      <c r="R470" s="4">
        <v>111323</v>
      </c>
      <c r="S470" s="5">
        <v>0.4</v>
      </c>
      <c r="T470" s="4">
        <v>44529</v>
      </c>
      <c r="U470" s="4">
        <v>155852</v>
      </c>
      <c r="V470" s="6">
        <f t="shared" si="14"/>
        <v>4208.0040000000008</v>
      </c>
      <c r="W470" s="6">
        <f t="shared" si="15"/>
        <v>151643.99599999998</v>
      </c>
    </row>
    <row r="471" spans="1:23" x14ac:dyDescent="0.3">
      <c r="A471" s="2" t="s">
        <v>21</v>
      </c>
      <c r="B471" s="2">
        <v>13.01</v>
      </c>
      <c r="C471" s="2">
        <v>2000078930</v>
      </c>
      <c r="D471" s="2">
        <v>46.3</v>
      </c>
      <c r="E471" s="2"/>
      <c r="F471" s="2">
        <v>225</v>
      </c>
      <c r="G471" s="2">
        <v>825</v>
      </c>
      <c r="H471" s="2"/>
      <c r="I471" s="2"/>
      <c r="J471" s="3">
        <f>IF(A471="Upgrade",IF(OR(H471=4,H471=5),VLOOKUP(I471,'Renewal Rates'!$A$22:$B$27,2,FALSE),2.7%),IF(A471="Renewal",100%,0%))</f>
        <v>2.7000000000000003E-2</v>
      </c>
      <c r="K471" s="2" t="s">
        <v>22</v>
      </c>
      <c r="L471" s="2">
        <v>377</v>
      </c>
      <c r="M471" s="2" t="s">
        <v>23</v>
      </c>
      <c r="N471" s="2" t="s">
        <v>24</v>
      </c>
      <c r="O471" s="4">
        <v>216806</v>
      </c>
      <c r="P471" s="4">
        <v>4684</v>
      </c>
      <c r="Q471" s="4">
        <v>73714</v>
      </c>
      <c r="R471" s="4">
        <v>290520</v>
      </c>
      <c r="S471" s="5">
        <v>0.4</v>
      </c>
      <c r="T471" s="4">
        <v>116208</v>
      </c>
      <c r="U471" s="4">
        <v>406728</v>
      </c>
      <c r="V471" s="6">
        <f t="shared" si="14"/>
        <v>10981.656000000001</v>
      </c>
      <c r="W471" s="6">
        <f t="shared" si="15"/>
        <v>395746.34399999998</v>
      </c>
    </row>
    <row r="472" spans="1:23" x14ac:dyDescent="0.3">
      <c r="A472" s="2" t="s">
        <v>21</v>
      </c>
      <c r="B472" s="2">
        <v>13.01</v>
      </c>
      <c r="C472" s="2">
        <v>2000286910</v>
      </c>
      <c r="D472" s="2">
        <v>7.3</v>
      </c>
      <c r="E472" s="2"/>
      <c r="F472" s="2">
        <v>225</v>
      </c>
      <c r="G472" s="2">
        <v>825</v>
      </c>
      <c r="H472" s="2"/>
      <c r="I472" s="2"/>
      <c r="J472" s="3">
        <f>IF(A472="Upgrade",IF(OR(H472=4,H472=5),VLOOKUP(I472,'Renewal Rates'!$A$22:$B$27,2,FALSE),2.7%),IF(A472="Renewal",100%,0%))</f>
        <v>2.7000000000000003E-2</v>
      </c>
      <c r="K472" s="2" t="s">
        <v>22</v>
      </c>
      <c r="L472" s="2">
        <v>377</v>
      </c>
      <c r="M472" s="2" t="s">
        <v>23</v>
      </c>
      <c r="N472" s="2" t="s">
        <v>24</v>
      </c>
      <c r="O472" s="4">
        <v>60169</v>
      </c>
      <c r="P472" s="4">
        <v>8270</v>
      </c>
      <c r="Q472" s="4">
        <v>20457</v>
      </c>
      <c r="R472" s="4">
        <v>80626</v>
      </c>
      <c r="S472" s="5">
        <v>0.4</v>
      </c>
      <c r="T472" s="4">
        <v>32250</v>
      </c>
      <c r="U472" s="4">
        <v>112876</v>
      </c>
      <c r="V472" s="6">
        <f t="shared" si="14"/>
        <v>3047.6520000000005</v>
      </c>
      <c r="W472" s="6">
        <f t="shared" si="15"/>
        <v>109828.348</v>
      </c>
    </row>
    <row r="473" spans="1:23" x14ac:dyDescent="0.3">
      <c r="A473" s="2" t="s">
        <v>21</v>
      </c>
      <c r="B473" s="2">
        <v>13.01</v>
      </c>
      <c r="C473" s="2">
        <v>2000424541</v>
      </c>
      <c r="D473" s="2">
        <v>11.7</v>
      </c>
      <c r="E473" s="2"/>
      <c r="F473" s="2">
        <v>225</v>
      </c>
      <c r="G473" s="2">
        <v>825</v>
      </c>
      <c r="H473" s="2"/>
      <c r="I473" s="2"/>
      <c r="J473" s="3">
        <f>IF(A473="Upgrade",IF(OR(H473=4,H473=5),VLOOKUP(I473,'Renewal Rates'!$A$22:$B$27,2,FALSE),2.7%),IF(A473="Renewal",100%,0%))</f>
        <v>2.7000000000000003E-2</v>
      </c>
      <c r="K473" s="2" t="s">
        <v>22</v>
      </c>
      <c r="L473" s="2">
        <v>377</v>
      </c>
      <c r="M473" s="2" t="s">
        <v>23</v>
      </c>
      <c r="N473" s="2" t="s">
        <v>24</v>
      </c>
      <c r="O473" s="4">
        <v>86337</v>
      </c>
      <c r="P473" s="4">
        <v>7384</v>
      </c>
      <c r="Q473" s="4">
        <v>29355</v>
      </c>
      <c r="R473" s="4">
        <v>115692</v>
      </c>
      <c r="S473" s="5">
        <v>0.4</v>
      </c>
      <c r="T473" s="4">
        <v>46277</v>
      </c>
      <c r="U473" s="4">
        <v>161969</v>
      </c>
      <c r="V473" s="6">
        <f t="shared" si="14"/>
        <v>4373.1630000000005</v>
      </c>
      <c r="W473" s="6">
        <f t="shared" si="15"/>
        <v>157595.837</v>
      </c>
    </row>
    <row r="474" spans="1:23" x14ac:dyDescent="0.3">
      <c r="A474" s="2" t="s">
        <v>25</v>
      </c>
      <c r="B474" s="2">
        <v>13.000999999999999</v>
      </c>
      <c r="C474" s="2"/>
      <c r="D474" s="2"/>
      <c r="E474" s="2">
        <v>80.400000000000006</v>
      </c>
      <c r="F474" s="2"/>
      <c r="G474" s="2">
        <v>600</v>
      </c>
      <c r="H474" s="2"/>
      <c r="I474" s="2"/>
      <c r="J474" s="3">
        <f>IF(A474="Upgrade",IF(OR(H474=4,H474=5),VLOOKUP(I474,'Renewal Rates'!$A$22:$B$27,2,FALSE),2.7%),IF(A474="Renewal",100%,0%))</f>
        <v>0</v>
      </c>
      <c r="K474" s="2" t="s">
        <v>22</v>
      </c>
      <c r="L474" s="2">
        <v>368</v>
      </c>
      <c r="M474" s="2" t="s">
        <v>23</v>
      </c>
      <c r="N474" s="2" t="s">
        <v>24</v>
      </c>
      <c r="O474" s="4">
        <v>277995</v>
      </c>
      <c r="P474" s="4">
        <v>3459</v>
      </c>
      <c r="Q474" s="4">
        <v>94518</v>
      </c>
      <c r="R474" s="4">
        <v>372513</v>
      </c>
      <c r="S474" s="5">
        <v>0.4</v>
      </c>
      <c r="T474" s="4">
        <v>149005</v>
      </c>
      <c r="U474" s="4">
        <v>521519</v>
      </c>
      <c r="V474" s="6">
        <f t="shared" si="14"/>
        <v>0</v>
      </c>
      <c r="W474" s="6">
        <f t="shared" si="15"/>
        <v>521519</v>
      </c>
    </row>
    <row r="475" spans="1:23" x14ac:dyDescent="0.3">
      <c r="A475" s="2" t="s">
        <v>25</v>
      </c>
      <c r="B475" s="2">
        <v>13.002000000000001</v>
      </c>
      <c r="C475" s="2"/>
      <c r="D475" s="2"/>
      <c r="E475" s="2">
        <v>22.8</v>
      </c>
      <c r="F475" s="2"/>
      <c r="G475" s="2">
        <v>450</v>
      </c>
      <c r="H475" s="2"/>
      <c r="I475" s="2"/>
      <c r="J475" s="3">
        <f>IF(A475="Upgrade",IF(OR(H475=4,H475=5),VLOOKUP(I475,'Renewal Rates'!$A$22:$B$27,2,FALSE),2.7%),IF(A475="Renewal",100%,0%))</f>
        <v>0</v>
      </c>
      <c r="K475" s="2" t="s">
        <v>22</v>
      </c>
      <c r="L475" s="2">
        <v>368</v>
      </c>
      <c r="M475" s="2" t="s">
        <v>23</v>
      </c>
      <c r="N475" s="2" t="s">
        <v>24</v>
      </c>
      <c r="O475" s="4">
        <v>96486</v>
      </c>
      <c r="P475" s="4">
        <v>4225</v>
      </c>
      <c r="Q475" s="4">
        <v>32805</v>
      </c>
      <c r="R475" s="4">
        <v>129291</v>
      </c>
      <c r="S475" s="5">
        <v>0.4</v>
      </c>
      <c r="T475" s="4">
        <v>51717</v>
      </c>
      <c r="U475" s="4">
        <v>181008</v>
      </c>
      <c r="V475" s="6">
        <f t="shared" si="14"/>
        <v>0</v>
      </c>
      <c r="W475" s="6">
        <f t="shared" si="15"/>
        <v>181008</v>
      </c>
    </row>
    <row r="476" spans="1:23" x14ac:dyDescent="0.3">
      <c r="A476" s="2" t="s">
        <v>21</v>
      </c>
      <c r="B476" s="2">
        <v>14.003</v>
      </c>
      <c r="C476" s="2">
        <v>2000588374</v>
      </c>
      <c r="D476" s="2">
        <v>9</v>
      </c>
      <c r="E476" s="2"/>
      <c r="F476" s="2">
        <v>300</v>
      </c>
      <c r="G476" s="2">
        <v>825</v>
      </c>
      <c r="H476" s="2"/>
      <c r="I476" s="2"/>
      <c r="J476" s="3">
        <f>IF(A476="Upgrade",IF(OR(H476=4,H476=5),VLOOKUP(I476,'Renewal Rates'!$A$22:$B$27,2,FALSE),2.7%),IF(A476="Renewal",100%,0%))</f>
        <v>2.7000000000000003E-2</v>
      </c>
      <c r="K476" s="2" t="s">
        <v>22</v>
      </c>
      <c r="L476" s="2">
        <v>375</v>
      </c>
      <c r="M476" s="2" t="s">
        <v>23</v>
      </c>
      <c r="N476" s="2" t="s">
        <v>24</v>
      </c>
      <c r="O476" s="4">
        <v>105619</v>
      </c>
      <c r="P476" s="4">
        <v>11748</v>
      </c>
      <c r="Q476" s="4">
        <v>35910</v>
      </c>
      <c r="R476" s="4">
        <v>141529</v>
      </c>
      <c r="S476" s="5">
        <v>0.4</v>
      </c>
      <c r="T476" s="4">
        <v>56612</v>
      </c>
      <c r="U476" s="4">
        <v>198141</v>
      </c>
      <c r="V476" s="6">
        <f t="shared" si="14"/>
        <v>5349.8070000000007</v>
      </c>
      <c r="W476" s="6">
        <f t="shared" si="15"/>
        <v>192791.193</v>
      </c>
    </row>
    <row r="477" spans="1:23" x14ac:dyDescent="0.3">
      <c r="A477" s="2" t="s">
        <v>21</v>
      </c>
      <c r="B477" s="2">
        <v>14.003</v>
      </c>
      <c r="C477" s="2">
        <v>3000108330</v>
      </c>
      <c r="D477" s="2">
        <v>43.9</v>
      </c>
      <c r="E477" s="2"/>
      <c r="F477" s="2">
        <v>375</v>
      </c>
      <c r="G477" s="2">
        <v>825</v>
      </c>
      <c r="H477" s="2">
        <v>4</v>
      </c>
      <c r="I477" s="2">
        <v>2</v>
      </c>
      <c r="J477" s="3">
        <f>IF(A477="Upgrade",IF(OR(H477=4,H477=5),VLOOKUP(I477,'Renewal Rates'!$A$22:$B$27,2,FALSE),2.7%),IF(A477="Renewal",100%,0%))</f>
        <v>0</v>
      </c>
      <c r="K477" s="2" t="s">
        <v>22</v>
      </c>
      <c r="L477" s="2">
        <v>375</v>
      </c>
      <c r="M477" s="2" t="s">
        <v>23</v>
      </c>
      <c r="N477" s="2" t="s">
        <v>24</v>
      </c>
      <c r="O477" s="4">
        <v>213179</v>
      </c>
      <c r="P477" s="4">
        <v>4855</v>
      </c>
      <c r="Q477" s="4">
        <v>72481</v>
      </c>
      <c r="R477" s="4">
        <v>285659</v>
      </c>
      <c r="S477" s="5">
        <v>0.4</v>
      </c>
      <c r="T477" s="4">
        <v>114264</v>
      </c>
      <c r="U477" s="4">
        <v>399923</v>
      </c>
      <c r="V477" s="6">
        <f t="shared" si="14"/>
        <v>0</v>
      </c>
      <c r="W477" s="6">
        <f t="shared" si="15"/>
        <v>399923</v>
      </c>
    </row>
    <row r="478" spans="1:23" x14ac:dyDescent="0.3">
      <c r="A478" s="2" t="s">
        <v>21</v>
      </c>
      <c r="B478" s="2">
        <v>14.003</v>
      </c>
      <c r="C478" s="2">
        <v>2000505338</v>
      </c>
      <c r="D478" s="2">
        <v>56.4</v>
      </c>
      <c r="E478" s="2"/>
      <c r="F478" s="2">
        <v>300</v>
      </c>
      <c r="G478" s="2">
        <v>825</v>
      </c>
      <c r="H478" s="2">
        <v>5</v>
      </c>
      <c r="I478" s="2">
        <v>4</v>
      </c>
      <c r="J478" s="3">
        <f>IF(A478="Upgrade",IF(OR(H478=4,H478=5),VLOOKUP(I478,'Renewal Rates'!$A$22:$B$27,2,FALSE),2.7%),IF(A478="Renewal",100%,0%))</f>
        <v>0.7</v>
      </c>
      <c r="K478" s="2" t="s">
        <v>22</v>
      </c>
      <c r="L478" s="2">
        <v>375</v>
      </c>
      <c r="M478" s="2" t="s">
        <v>23</v>
      </c>
      <c r="N478" s="2" t="s">
        <v>24</v>
      </c>
      <c r="O478" s="4">
        <v>275658</v>
      </c>
      <c r="P478" s="4">
        <v>4889</v>
      </c>
      <c r="Q478" s="4">
        <v>93724</v>
      </c>
      <c r="R478" s="4">
        <v>369382</v>
      </c>
      <c r="S478" s="5">
        <v>0.4</v>
      </c>
      <c r="T478" s="4">
        <v>147753</v>
      </c>
      <c r="U478" s="4">
        <v>517134</v>
      </c>
      <c r="V478" s="6">
        <f t="shared" si="14"/>
        <v>361993.8</v>
      </c>
      <c r="W478" s="6">
        <f t="shared" si="15"/>
        <v>155140.20000000001</v>
      </c>
    </row>
    <row r="479" spans="1:23" x14ac:dyDescent="0.3">
      <c r="A479" s="2" t="s">
        <v>21</v>
      </c>
      <c r="B479" s="2">
        <v>14.002000000000001</v>
      </c>
      <c r="C479" s="2">
        <v>2000475412</v>
      </c>
      <c r="D479" s="2">
        <v>9</v>
      </c>
      <c r="E479" s="2"/>
      <c r="F479" s="2">
        <v>300</v>
      </c>
      <c r="G479" s="2">
        <v>525</v>
      </c>
      <c r="H479" s="2"/>
      <c r="I479" s="2"/>
      <c r="J479" s="3">
        <f>IF(A479="Upgrade",IF(OR(H479=4,H479=5),VLOOKUP(I479,'Renewal Rates'!$A$22:$B$27,2,FALSE),2.7%),IF(A479="Renewal",100%,0%))</f>
        <v>2.7000000000000003E-2</v>
      </c>
      <c r="K479" s="2" t="s">
        <v>22</v>
      </c>
      <c r="L479" s="2">
        <v>374</v>
      </c>
      <c r="M479" s="2" t="s">
        <v>23</v>
      </c>
      <c r="N479" s="2" t="s">
        <v>24</v>
      </c>
      <c r="O479" s="4">
        <v>51819</v>
      </c>
      <c r="P479" s="4">
        <v>5731</v>
      </c>
      <c r="Q479" s="4">
        <v>17619</v>
      </c>
      <c r="R479" s="4">
        <v>69438</v>
      </c>
      <c r="S479" s="5">
        <v>0.4</v>
      </c>
      <c r="T479" s="4">
        <v>27775</v>
      </c>
      <c r="U479" s="4">
        <v>97213</v>
      </c>
      <c r="V479" s="6">
        <f t="shared" si="14"/>
        <v>2624.7510000000002</v>
      </c>
      <c r="W479" s="6">
        <f t="shared" si="15"/>
        <v>94588.248999999996</v>
      </c>
    </row>
    <row r="480" spans="1:23" x14ac:dyDescent="0.3">
      <c r="A480" s="2" t="s">
        <v>21</v>
      </c>
      <c r="B480" s="2">
        <v>14.002000000000001</v>
      </c>
      <c r="C480" s="2">
        <v>2000144611</v>
      </c>
      <c r="D480" s="2">
        <v>47.2</v>
      </c>
      <c r="E480" s="2"/>
      <c r="F480" s="2">
        <v>300</v>
      </c>
      <c r="G480" s="2">
        <v>525</v>
      </c>
      <c r="H480" s="2"/>
      <c r="I480" s="2"/>
      <c r="J480" s="3">
        <f>IF(A480="Upgrade",IF(OR(H480=4,H480=5),VLOOKUP(I480,'Renewal Rates'!$A$22:$B$27,2,FALSE),2.7%),IF(A480="Renewal",100%,0%))</f>
        <v>2.7000000000000003E-2</v>
      </c>
      <c r="K480" s="2" t="s">
        <v>22</v>
      </c>
      <c r="L480" s="2">
        <v>374</v>
      </c>
      <c r="M480" s="2" t="s">
        <v>23</v>
      </c>
      <c r="N480" s="2" t="s">
        <v>24</v>
      </c>
      <c r="O480" s="4">
        <v>143420</v>
      </c>
      <c r="P480" s="4">
        <v>3040</v>
      </c>
      <c r="Q480" s="4">
        <v>48763</v>
      </c>
      <c r="R480" s="4">
        <v>192183</v>
      </c>
      <c r="S480" s="5">
        <v>0.4</v>
      </c>
      <c r="T480" s="4">
        <v>76873</v>
      </c>
      <c r="U480" s="4">
        <v>269056</v>
      </c>
      <c r="V480" s="6">
        <f t="shared" si="14"/>
        <v>7264.5120000000006</v>
      </c>
      <c r="W480" s="6">
        <f t="shared" si="15"/>
        <v>261791.48800000001</v>
      </c>
    </row>
    <row r="481" spans="1:23" x14ac:dyDescent="0.3">
      <c r="A481" s="2" t="s">
        <v>21</v>
      </c>
      <c r="B481" s="2">
        <v>14.002000000000001</v>
      </c>
      <c r="C481" s="2">
        <v>2000713213</v>
      </c>
      <c r="D481" s="2">
        <v>9.1</v>
      </c>
      <c r="E481" s="2"/>
      <c r="F481" s="2">
        <v>225</v>
      </c>
      <c r="G481" s="2">
        <v>525</v>
      </c>
      <c r="H481" s="2"/>
      <c r="I481" s="2"/>
      <c r="J481" s="3">
        <f>IF(A481="Upgrade",IF(OR(H481=4,H481=5),VLOOKUP(I481,'Renewal Rates'!$A$22:$B$27,2,FALSE),2.7%),IF(A481="Renewal",100%,0%))</f>
        <v>2.7000000000000003E-2</v>
      </c>
      <c r="K481" s="2" t="s">
        <v>22</v>
      </c>
      <c r="L481" s="2">
        <v>374</v>
      </c>
      <c r="M481" s="2" t="s">
        <v>23</v>
      </c>
      <c r="N481" s="2" t="s">
        <v>24</v>
      </c>
      <c r="O481" s="4">
        <v>51833</v>
      </c>
      <c r="P481" s="4">
        <v>5723</v>
      </c>
      <c r="Q481" s="4">
        <v>17623</v>
      </c>
      <c r="R481" s="4">
        <v>69456</v>
      </c>
      <c r="S481" s="5">
        <v>0.4</v>
      </c>
      <c r="T481" s="4">
        <v>27782</v>
      </c>
      <c r="U481" s="4">
        <v>97238</v>
      </c>
      <c r="V481" s="6">
        <f t="shared" si="14"/>
        <v>2625.4260000000004</v>
      </c>
      <c r="W481" s="6">
        <f t="shared" si="15"/>
        <v>94612.573999999993</v>
      </c>
    </row>
    <row r="482" spans="1:23" x14ac:dyDescent="0.3">
      <c r="A482" s="2" t="s">
        <v>21</v>
      </c>
      <c r="B482" s="2">
        <v>14.002000000000001</v>
      </c>
      <c r="C482" s="2">
        <v>2000333191</v>
      </c>
      <c r="D482" s="2">
        <v>24.4</v>
      </c>
      <c r="E482" s="2"/>
      <c r="F482" s="2">
        <v>225</v>
      </c>
      <c r="G482" s="2">
        <v>525</v>
      </c>
      <c r="H482" s="2"/>
      <c r="I482" s="2"/>
      <c r="J482" s="3">
        <f>IF(A482="Upgrade",IF(OR(H482=4,H482=5),VLOOKUP(I482,'Renewal Rates'!$A$22:$B$27,2,FALSE),2.7%),IF(A482="Renewal",100%,0%))</f>
        <v>2.7000000000000003E-2</v>
      </c>
      <c r="K482" s="2" t="s">
        <v>22</v>
      </c>
      <c r="L482" s="2">
        <v>374</v>
      </c>
      <c r="M482" s="2" t="s">
        <v>23</v>
      </c>
      <c r="N482" s="2" t="s">
        <v>24</v>
      </c>
      <c r="O482" s="4">
        <v>84635</v>
      </c>
      <c r="P482" s="4">
        <v>3473</v>
      </c>
      <c r="Q482" s="4">
        <v>28776</v>
      </c>
      <c r="R482" s="4">
        <v>113411</v>
      </c>
      <c r="S482" s="5">
        <v>0.4</v>
      </c>
      <c r="T482" s="4">
        <v>45365</v>
      </c>
      <c r="U482" s="4">
        <v>158776</v>
      </c>
      <c r="V482" s="6">
        <f t="shared" si="14"/>
        <v>4286.9520000000002</v>
      </c>
      <c r="W482" s="6">
        <f t="shared" si="15"/>
        <v>154489.04800000001</v>
      </c>
    </row>
    <row r="483" spans="1:23" x14ac:dyDescent="0.3">
      <c r="A483" s="2" t="s">
        <v>21</v>
      </c>
      <c r="B483" s="2">
        <v>14.000999999999999</v>
      </c>
      <c r="C483" s="2">
        <v>2000958343</v>
      </c>
      <c r="D483" s="2">
        <v>11.7</v>
      </c>
      <c r="E483" s="2"/>
      <c r="F483" s="2">
        <v>450</v>
      </c>
      <c r="G483" s="2">
        <v>675</v>
      </c>
      <c r="H483" s="2"/>
      <c r="I483" s="2"/>
      <c r="J483" s="3">
        <f>IF(A483="Upgrade",IF(OR(H483=4,H483=5),VLOOKUP(I483,'Renewal Rates'!$A$22:$B$27,2,FALSE),2.7%),IF(A483="Renewal",100%,0%))</f>
        <v>2.7000000000000003E-2</v>
      </c>
      <c r="K483" s="2" t="s">
        <v>22</v>
      </c>
      <c r="L483" s="2">
        <v>375</v>
      </c>
      <c r="M483" s="2" t="s">
        <v>23</v>
      </c>
      <c r="N483" s="2" t="s">
        <v>24</v>
      </c>
      <c r="O483" s="4">
        <v>106818</v>
      </c>
      <c r="P483" s="4">
        <v>9150</v>
      </c>
      <c r="Q483" s="4">
        <v>36318</v>
      </c>
      <c r="R483" s="4">
        <v>143136</v>
      </c>
      <c r="S483" s="5">
        <v>0.4</v>
      </c>
      <c r="T483" s="4">
        <v>57255</v>
      </c>
      <c r="U483" s="4">
        <v>200391</v>
      </c>
      <c r="V483" s="6">
        <f t="shared" si="14"/>
        <v>5410.5570000000007</v>
      </c>
      <c r="W483" s="6">
        <f t="shared" si="15"/>
        <v>194980.443</v>
      </c>
    </row>
    <row r="484" spans="1:23" x14ac:dyDescent="0.3">
      <c r="A484" s="2" t="s">
        <v>21</v>
      </c>
      <c r="B484" s="2">
        <v>14.000999999999999</v>
      </c>
      <c r="C484" s="2">
        <v>2000505072</v>
      </c>
      <c r="D484" s="2">
        <v>26.3</v>
      </c>
      <c r="E484" s="2"/>
      <c r="F484" s="2">
        <v>450</v>
      </c>
      <c r="G484" s="2">
        <v>675</v>
      </c>
      <c r="H484" s="2">
        <v>4</v>
      </c>
      <c r="I484" s="2">
        <v>4</v>
      </c>
      <c r="J484" s="3">
        <f>IF(A484="Upgrade",IF(OR(H484=4,H484=5),VLOOKUP(I484,'Renewal Rates'!$A$22:$B$27,2,FALSE),2.7%),IF(A484="Renewal",100%,0%))</f>
        <v>0.7</v>
      </c>
      <c r="K484" s="2" t="s">
        <v>22</v>
      </c>
      <c r="L484" s="2">
        <v>375</v>
      </c>
      <c r="M484" s="2" t="s">
        <v>23</v>
      </c>
      <c r="N484" s="2" t="s">
        <v>24</v>
      </c>
      <c r="O484" s="4">
        <v>120295</v>
      </c>
      <c r="P484" s="4">
        <v>4583</v>
      </c>
      <c r="Q484" s="4">
        <v>40900</v>
      </c>
      <c r="R484" s="4">
        <v>161196</v>
      </c>
      <c r="S484" s="5">
        <v>0.4</v>
      </c>
      <c r="T484" s="4">
        <v>64478</v>
      </c>
      <c r="U484" s="4">
        <v>225674</v>
      </c>
      <c r="V484" s="6">
        <f t="shared" si="14"/>
        <v>157971.79999999999</v>
      </c>
      <c r="W484" s="6">
        <f t="shared" si="15"/>
        <v>67702.200000000012</v>
      </c>
    </row>
    <row r="485" spans="1:23" x14ac:dyDescent="0.3">
      <c r="A485" s="2" t="s">
        <v>21</v>
      </c>
      <c r="B485" s="2">
        <v>14.000999999999999</v>
      </c>
      <c r="C485" s="2">
        <v>2000104922</v>
      </c>
      <c r="D485" s="2">
        <v>7.4</v>
      </c>
      <c r="E485" s="2"/>
      <c r="F485" s="2">
        <v>450</v>
      </c>
      <c r="G485" s="2">
        <v>675</v>
      </c>
      <c r="H485" s="2">
        <v>5</v>
      </c>
      <c r="I485" s="2">
        <v>2</v>
      </c>
      <c r="J485" s="3">
        <f>IF(A485="Upgrade",IF(OR(H485=4,H485=5),VLOOKUP(I485,'Renewal Rates'!$A$22:$B$27,2,FALSE),2.7%),IF(A485="Renewal",100%,0%))</f>
        <v>0</v>
      </c>
      <c r="K485" s="2" t="s">
        <v>22</v>
      </c>
      <c r="L485" s="2">
        <v>375</v>
      </c>
      <c r="M485" s="2" t="s">
        <v>23</v>
      </c>
      <c r="N485" s="2" t="s">
        <v>24</v>
      </c>
      <c r="O485" s="4">
        <v>58844</v>
      </c>
      <c r="P485" s="4">
        <v>7972</v>
      </c>
      <c r="Q485" s="4">
        <v>20007</v>
      </c>
      <c r="R485" s="4">
        <v>78851</v>
      </c>
      <c r="S485" s="5">
        <v>0.4</v>
      </c>
      <c r="T485" s="4">
        <v>31541</v>
      </c>
      <c r="U485" s="4">
        <v>110392</v>
      </c>
      <c r="V485" s="6">
        <f t="shared" si="14"/>
        <v>0</v>
      </c>
      <c r="W485" s="6">
        <f t="shared" si="15"/>
        <v>110392</v>
      </c>
    </row>
    <row r="486" spans="1:23" x14ac:dyDescent="0.3">
      <c r="A486" s="2" t="s">
        <v>21</v>
      </c>
      <c r="B486" s="2">
        <v>14.000999999999999</v>
      </c>
      <c r="C486" s="2">
        <v>3000174543</v>
      </c>
      <c r="D486" s="2">
        <v>82.5</v>
      </c>
      <c r="E486" s="2"/>
      <c r="F486" s="2">
        <v>450</v>
      </c>
      <c r="G486" s="2">
        <v>675</v>
      </c>
      <c r="H486" s="2"/>
      <c r="I486" s="2"/>
      <c r="J486" s="3">
        <f>IF(A486="Upgrade",IF(OR(H486=4,H486=5),VLOOKUP(I486,'Renewal Rates'!$A$22:$B$27,2,FALSE),2.7%),IF(A486="Renewal",100%,0%))</f>
        <v>2.7000000000000003E-2</v>
      </c>
      <c r="K486" s="2" t="s">
        <v>22</v>
      </c>
      <c r="L486" s="2">
        <v>375</v>
      </c>
      <c r="M486" s="2" t="s">
        <v>23</v>
      </c>
      <c r="N486" s="2" t="s">
        <v>24</v>
      </c>
      <c r="O486" s="4">
        <v>309695</v>
      </c>
      <c r="P486" s="4">
        <v>3756</v>
      </c>
      <c r="Q486" s="4">
        <v>105296</v>
      </c>
      <c r="R486" s="4">
        <v>414991</v>
      </c>
      <c r="S486" s="5">
        <v>0.4</v>
      </c>
      <c r="T486" s="4">
        <v>165996</v>
      </c>
      <c r="U486" s="4">
        <v>580987</v>
      </c>
      <c r="V486" s="6">
        <f t="shared" si="14"/>
        <v>15686.649000000001</v>
      </c>
      <c r="W486" s="6">
        <f t="shared" si="15"/>
        <v>565300.35100000002</v>
      </c>
    </row>
    <row r="487" spans="1:23" x14ac:dyDescent="0.3">
      <c r="A487" s="2" t="s">
        <v>21</v>
      </c>
      <c r="B487" s="2">
        <v>14.007999999999999</v>
      </c>
      <c r="C487" s="2">
        <v>2000117769</v>
      </c>
      <c r="D487" s="2">
        <v>49.8</v>
      </c>
      <c r="E487" s="2"/>
      <c r="F487" s="2">
        <v>1200</v>
      </c>
      <c r="G487" s="2">
        <v>1800</v>
      </c>
      <c r="H487" s="2">
        <v>4</v>
      </c>
      <c r="I487" s="2">
        <v>2</v>
      </c>
      <c r="J487" s="3">
        <f>IF(A487="Upgrade",IF(OR(H487=4,H487=5),VLOOKUP(I487,'Renewal Rates'!$A$22:$B$27,2,FALSE),2.7%),IF(A487="Renewal",100%,0%))</f>
        <v>0</v>
      </c>
      <c r="K487" s="2" t="s">
        <v>22</v>
      </c>
      <c r="L487" s="2">
        <v>375</v>
      </c>
      <c r="M487" s="2" t="s">
        <v>23</v>
      </c>
      <c r="N487" s="2" t="s">
        <v>24</v>
      </c>
      <c r="O487" s="4">
        <v>527261</v>
      </c>
      <c r="P487" s="4">
        <v>10588</v>
      </c>
      <c r="Q487" s="4">
        <v>179269</v>
      </c>
      <c r="R487" s="4">
        <v>706530</v>
      </c>
      <c r="S487" s="5">
        <v>0.4</v>
      </c>
      <c r="T487" s="4">
        <v>282612</v>
      </c>
      <c r="U487" s="4">
        <v>989142</v>
      </c>
      <c r="V487" s="6">
        <f t="shared" si="14"/>
        <v>0</v>
      </c>
      <c r="W487" s="6">
        <f t="shared" si="15"/>
        <v>989142</v>
      </c>
    </row>
    <row r="488" spans="1:23" x14ac:dyDescent="0.3">
      <c r="A488" s="2" t="s">
        <v>21</v>
      </c>
      <c r="B488" s="2">
        <v>14.007999999999999</v>
      </c>
      <c r="C488" s="2">
        <v>2000797533</v>
      </c>
      <c r="D488" s="2">
        <v>55.6</v>
      </c>
      <c r="E488" s="2"/>
      <c r="F488" s="2">
        <v>1354</v>
      </c>
      <c r="G488" s="2">
        <v>1800</v>
      </c>
      <c r="H488" s="2">
        <v>5</v>
      </c>
      <c r="I488" s="2">
        <v>3</v>
      </c>
      <c r="J488" s="3">
        <f>IF(A488="Upgrade",IF(OR(H488=4,H488=5),VLOOKUP(I488,'Renewal Rates'!$A$22:$B$27,2,FALSE),2.7%),IF(A488="Renewal",100%,0%))</f>
        <v>0.21</v>
      </c>
      <c r="K488" s="2" t="s">
        <v>22</v>
      </c>
      <c r="L488" s="2">
        <v>375</v>
      </c>
      <c r="M488" s="2" t="s">
        <v>23</v>
      </c>
      <c r="N488" s="2" t="s">
        <v>24</v>
      </c>
      <c r="O488" s="4">
        <v>588792</v>
      </c>
      <c r="P488" s="4">
        <v>10598</v>
      </c>
      <c r="Q488" s="4">
        <v>200189</v>
      </c>
      <c r="R488" s="4">
        <v>788982</v>
      </c>
      <c r="S488" s="5">
        <v>0.4</v>
      </c>
      <c r="T488" s="4">
        <v>315593</v>
      </c>
      <c r="U488" s="4">
        <v>1104575</v>
      </c>
      <c r="V488" s="6">
        <f t="shared" si="14"/>
        <v>231960.75</v>
      </c>
      <c r="W488" s="6">
        <f t="shared" si="15"/>
        <v>872614.25</v>
      </c>
    </row>
    <row r="489" spans="1:23" x14ac:dyDescent="0.3">
      <c r="A489" s="2" t="s">
        <v>21</v>
      </c>
      <c r="B489" s="2">
        <v>14.007999999999999</v>
      </c>
      <c r="C489" s="2">
        <v>2000725176</v>
      </c>
      <c r="D489" s="2">
        <v>24.7</v>
      </c>
      <c r="E489" s="2"/>
      <c r="F489" s="2">
        <v>1200</v>
      </c>
      <c r="G489" s="2">
        <v>1800</v>
      </c>
      <c r="H489" s="2">
        <v>5</v>
      </c>
      <c r="I489" s="2">
        <v>1</v>
      </c>
      <c r="J489" s="3">
        <f>IF(A489="Upgrade",IF(OR(H489=4,H489=5),VLOOKUP(I489,'Renewal Rates'!$A$22:$B$27,2,FALSE),2.7%),IF(A489="Renewal",100%,0%))</f>
        <v>0</v>
      </c>
      <c r="K489" s="2" t="s">
        <v>22</v>
      </c>
      <c r="L489" s="2">
        <v>375</v>
      </c>
      <c r="M489" s="2" t="s">
        <v>23</v>
      </c>
      <c r="N489" s="2" t="s">
        <v>24</v>
      </c>
      <c r="O489" s="4">
        <v>274477</v>
      </c>
      <c r="P489" s="4">
        <v>11093</v>
      </c>
      <c r="Q489" s="4">
        <v>93322</v>
      </c>
      <c r="R489" s="4">
        <v>367799</v>
      </c>
      <c r="S489" s="5">
        <v>0.4</v>
      </c>
      <c r="T489" s="4">
        <v>147120</v>
      </c>
      <c r="U489" s="4">
        <v>514919</v>
      </c>
      <c r="V489" s="6">
        <f t="shared" si="14"/>
        <v>0</v>
      </c>
      <c r="W489" s="6">
        <f t="shared" si="15"/>
        <v>514919</v>
      </c>
    </row>
    <row r="490" spans="1:23" x14ac:dyDescent="0.3">
      <c r="A490" s="2" t="s">
        <v>21</v>
      </c>
      <c r="B490" s="2">
        <v>14.007999999999999</v>
      </c>
      <c r="C490" s="2">
        <v>2000077747</v>
      </c>
      <c r="D490" s="2">
        <v>39.1</v>
      </c>
      <c r="E490" s="2"/>
      <c r="F490" s="2">
        <v>1650</v>
      </c>
      <c r="G490" s="2">
        <v>1800</v>
      </c>
      <c r="H490" s="2">
        <v>5</v>
      </c>
      <c r="I490" s="2">
        <v>1</v>
      </c>
      <c r="J490" s="3">
        <f>IF(A490="Upgrade",IF(OR(H490=4,H490=5),VLOOKUP(I490,'Renewal Rates'!$A$22:$B$27,2,FALSE),2.7%),IF(A490="Renewal",100%,0%))</f>
        <v>0</v>
      </c>
      <c r="K490" s="2" t="s">
        <v>22</v>
      </c>
      <c r="L490" s="2">
        <v>375</v>
      </c>
      <c r="M490" s="2" t="s">
        <v>23</v>
      </c>
      <c r="N490" s="2" t="s">
        <v>24</v>
      </c>
      <c r="O490" s="4">
        <v>419087</v>
      </c>
      <c r="P490" s="4">
        <v>10717</v>
      </c>
      <c r="Q490" s="4">
        <v>142490</v>
      </c>
      <c r="R490" s="4">
        <v>561577</v>
      </c>
      <c r="S490" s="5">
        <v>0.4</v>
      </c>
      <c r="T490" s="4">
        <v>224631</v>
      </c>
      <c r="U490" s="4">
        <v>786207</v>
      </c>
      <c r="V490" s="6">
        <f t="shared" si="14"/>
        <v>0</v>
      </c>
      <c r="W490" s="6">
        <f t="shared" si="15"/>
        <v>786207</v>
      </c>
    </row>
    <row r="491" spans="1:23" x14ac:dyDescent="0.3">
      <c r="A491" s="2" t="s">
        <v>21</v>
      </c>
      <c r="B491" s="2">
        <v>14.007999999999999</v>
      </c>
      <c r="C491" s="2">
        <v>2000319538</v>
      </c>
      <c r="D491" s="2">
        <v>18.899999999999999</v>
      </c>
      <c r="E491" s="2"/>
      <c r="F491" s="2">
        <v>1450</v>
      </c>
      <c r="G491" s="2">
        <v>1800</v>
      </c>
      <c r="H491" s="2">
        <v>5</v>
      </c>
      <c r="I491" s="2">
        <v>3</v>
      </c>
      <c r="J491" s="3">
        <f>IF(A491="Upgrade",IF(OR(H491=4,H491=5),VLOOKUP(I491,'Renewal Rates'!$A$22:$B$27,2,FALSE),2.7%),IF(A491="Renewal",100%,0%))</f>
        <v>0.21</v>
      </c>
      <c r="K491" s="2" t="s">
        <v>22</v>
      </c>
      <c r="L491" s="2">
        <v>375</v>
      </c>
      <c r="M491" s="2" t="s">
        <v>23</v>
      </c>
      <c r="N491" s="2" t="s">
        <v>24</v>
      </c>
      <c r="O491" s="4">
        <v>207187</v>
      </c>
      <c r="P491" s="4">
        <v>10962</v>
      </c>
      <c r="Q491" s="4">
        <v>70443</v>
      </c>
      <c r="R491" s="4">
        <v>277630</v>
      </c>
      <c r="S491" s="5">
        <v>0.4</v>
      </c>
      <c r="T491" s="4">
        <v>111052</v>
      </c>
      <c r="U491" s="4">
        <v>388682</v>
      </c>
      <c r="V491" s="6">
        <f t="shared" si="14"/>
        <v>81623.22</v>
      </c>
      <c r="W491" s="6">
        <f t="shared" si="15"/>
        <v>307058.78000000003</v>
      </c>
    </row>
    <row r="492" spans="1:23" x14ac:dyDescent="0.3">
      <c r="A492" s="2" t="s">
        <v>21</v>
      </c>
      <c r="B492" s="2">
        <v>14.009</v>
      </c>
      <c r="C492" s="2">
        <v>2000362697</v>
      </c>
      <c r="D492" s="2">
        <v>25.9</v>
      </c>
      <c r="E492" s="2"/>
      <c r="F492" s="2">
        <v>150</v>
      </c>
      <c r="G492" s="2">
        <v>675</v>
      </c>
      <c r="H492" s="2"/>
      <c r="I492" s="2"/>
      <c r="J492" s="3">
        <f>IF(A492="Upgrade",IF(OR(H492=4,H492=5),VLOOKUP(I492,'Renewal Rates'!$A$22:$B$27,2,FALSE),2.7%),IF(A492="Renewal",100%,0%))</f>
        <v>2.7000000000000003E-2</v>
      </c>
      <c r="K492" s="2" t="s">
        <v>22</v>
      </c>
      <c r="L492" s="2">
        <v>375</v>
      </c>
      <c r="M492" s="2" t="s">
        <v>23</v>
      </c>
      <c r="N492" s="2" t="s">
        <v>24</v>
      </c>
      <c r="O492" s="4">
        <v>119850</v>
      </c>
      <c r="P492" s="4">
        <v>4631</v>
      </c>
      <c r="Q492" s="4">
        <v>40749</v>
      </c>
      <c r="R492" s="4">
        <v>160599</v>
      </c>
      <c r="S492" s="5">
        <v>0.4</v>
      </c>
      <c r="T492" s="4">
        <v>64240</v>
      </c>
      <c r="U492" s="4">
        <v>224839</v>
      </c>
      <c r="V492" s="6">
        <f t="shared" si="14"/>
        <v>6070.6530000000012</v>
      </c>
      <c r="W492" s="6">
        <f t="shared" si="15"/>
        <v>218768.34700000001</v>
      </c>
    </row>
    <row r="493" spans="1:23" x14ac:dyDescent="0.3">
      <c r="A493" s="2" t="s">
        <v>21</v>
      </c>
      <c r="B493" s="2">
        <v>14.01</v>
      </c>
      <c r="C493" s="2">
        <v>2000164962</v>
      </c>
      <c r="D493" s="2">
        <v>11</v>
      </c>
      <c r="E493" s="2"/>
      <c r="F493" s="2">
        <v>225</v>
      </c>
      <c r="G493" s="2">
        <v>375</v>
      </c>
      <c r="H493" s="2"/>
      <c r="I493" s="2"/>
      <c r="J493" s="3">
        <f>IF(A493="Upgrade",IF(OR(H493=4,H493=5),VLOOKUP(I493,'Renewal Rates'!$A$22:$B$27,2,FALSE),2.7%),IF(A493="Renewal",100%,0%))</f>
        <v>2.7000000000000003E-2</v>
      </c>
      <c r="K493" s="2" t="s">
        <v>22</v>
      </c>
      <c r="L493" s="2">
        <v>375</v>
      </c>
      <c r="M493" s="2" t="s">
        <v>23</v>
      </c>
      <c r="N493" s="2" t="s">
        <v>24</v>
      </c>
      <c r="O493" s="4">
        <v>44590</v>
      </c>
      <c r="P493" s="4">
        <v>4046</v>
      </c>
      <c r="Q493" s="4">
        <v>15161</v>
      </c>
      <c r="R493" s="4">
        <v>59751</v>
      </c>
      <c r="S493" s="5">
        <v>0.4</v>
      </c>
      <c r="T493" s="4">
        <v>23900</v>
      </c>
      <c r="U493" s="4">
        <v>83651</v>
      </c>
      <c r="V493" s="6">
        <f t="shared" si="14"/>
        <v>2258.5770000000002</v>
      </c>
      <c r="W493" s="6">
        <f t="shared" si="15"/>
        <v>81392.422999999995</v>
      </c>
    </row>
    <row r="494" spans="1:23" x14ac:dyDescent="0.3">
      <c r="A494" s="2" t="s">
        <v>21</v>
      </c>
      <c r="B494" s="2">
        <v>14.01</v>
      </c>
      <c r="C494" s="2">
        <v>2000474702</v>
      </c>
      <c r="D494" s="2">
        <v>18.8</v>
      </c>
      <c r="E494" s="2"/>
      <c r="F494" s="2">
        <v>1354</v>
      </c>
      <c r="G494" s="2">
        <v>375</v>
      </c>
      <c r="H494" s="2">
        <v>5</v>
      </c>
      <c r="I494" s="2">
        <v>2</v>
      </c>
      <c r="J494" s="3">
        <f>IF(A494="Upgrade",IF(OR(H494=4,H494=5),VLOOKUP(I494,'Renewal Rates'!$A$22:$B$27,2,FALSE),2.7%),IF(A494="Renewal",100%,0%))</f>
        <v>0</v>
      </c>
      <c r="K494" s="2" t="s">
        <v>22</v>
      </c>
      <c r="L494" s="2">
        <v>375</v>
      </c>
      <c r="M494" s="2" t="s">
        <v>23</v>
      </c>
      <c r="N494" s="2" t="s">
        <v>24</v>
      </c>
      <c r="O494" s="4">
        <v>65066</v>
      </c>
      <c r="P494" s="4">
        <v>3467</v>
      </c>
      <c r="Q494" s="4">
        <v>22122</v>
      </c>
      <c r="R494" s="4">
        <v>87189</v>
      </c>
      <c r="S494" s="5">
        <v>0.4</v>
      </c>
      <c r="T494" s="4">
        <v>34875</v>
      </c>
      <c r="U494" s="4">
        <v>122064</v>
      </c>
      <c r="V494" s="6">
        <f t="shared" si="14"/>
        <v>0</v>
      </c>
      <c r="W494" s="6">
        <f t="shared" si="15"/>
        <v>122064</v>
      </c>
    </row>
    <row r="495" spans="1:23" x14ac:dyDescent="0.3">
      <c r="A495" s="2" t="s">
        <v>21</v>
      </c>
      <c r="B495" s="2">
        <v>14.006</v>
      </c>
      <c r="C495" s="2">
        <v>2000459773</v>
      </c>
      <c r="D495" s="2">
        <v>55.2</v>
      </c>
      <c r="E495" s="2"/>
      <c r="F495" s="2">
        <v>375</v>
      </c>
      <c r="G495" s="2">
        <v>525</v>
      </c>
      <c r="H495" s="2">
        <v>5</v>
      </c>
      <c r="I495" s="2">
        <v>3</v>
      </c>
      <c r="J495" s="3">
        <f>IF(A495="Upgrade",IF(OR(H495=4,H495=5),VLOOKUP(I495,'Renewal Rates'!$A$22:$B$27,2,FALSE),2.7%),IF(A495="Renewal",100%,0%))</f>
        <v>0.21</v>
      </c>
      <c r="K495" s="2" t="s">
        <v>22</v>
      </c>
      <c r="L495" s="2">
        <v>375</v>
      </c>
      <c r="M495" s="2" t="s">
        <v>23</v>
      </c>
      <c r="N495" s="2" t="s">
        <v>24</v>
      </c>
      <c r="O495" s="4">
        <v>205117</v>
      </c>
      <c r="P495" s="4">
        <v>3716</v>
      </c>
      <c r="Q495" s="4">
        <v>69740</v>
      </c>
      <c r="R495" s="4">
        <v>274857</v>
      </c>
      <c r="S495" s="5">
        <v>0.4</v>
      </c>
      <c r="T495" s="4">
        <v>109943</v>
      </c>
      <c r="U495" s="4">
        <v>384800</v>
      </c>
      <c r="V495" s="6">
        <f t="shared" si="14"/>
        <v>80808</v>
      </c>
      <c r="W495" s="6">
        <f t="shared" si="15"/>
        <v>303992</v>
      </c>
    </row>
    <row r="496" spans="1:23" x14ac:dyDescent="0.3">
      <c r="A496" s="2" t="s">
        <v>21</v>
      </c>
      <c r="B496" s="2">
        <v>14.005000000000001</v>
      </c>
      <c r="C496" s="2">
        <v>2000080861</v>
      </c>
      <c r="D496" s="2">
        <v>61.1</v>
      </c>
      <c r="E496" s="2"/>
      <c r="F496" s="2">
        <v>300</v>
      </c>
      <c r="G496" s="2">
        <v>525</v>
      </c>
      <c r="H496" s="2"/>
      <c r="I496" s="2"/>
      <c r="J496" s="3">
        <f>IF(A496="Upgrade",IF(OR(H496=4,H496=5),VLOOKUP(I496,'Renewal Rates'!$A$22:$B$27,2,FALSE),2.7%),IF(A496="Renewal",100%,0%))</f>
        <v>2.7000000000000003E-2</v>
      </c>
      <c r="K496" s="2" t="s">
        <v>22</v>
      </c>
      <c r="L496" s="2">
        <v>375</v>
      </c>
      <c r="M496" s="2" t="s">
        <v>23</v>
      </c>
      <c r="N496" s="2" t="s">
        <v>24</v>
      </c>
      <c r="O496" s="4">
        <v>193889</v>
      </c>
      <c r="P496" s="4">
        <v>3173</v>
      </c>
      <c r="Q496" s="4">
        <v>65922</v>
      </c>
      <c r="R496" s="4">
        <v>259811</v>
      </c>
      <c r="S496" s="5">
        <v>0.4</v>
      </c>
      <c r="T496" s="4">
        <v>103924</v>
      </c>
      <c r="U496" s="4">
        <v>363735</v>
      </c>
      <c r="V496" s="6">
        <f t="shared" si="14"/>
        <v>9820.8450000000012</v>
      </c>
      <c r="W496" s="6">
        <f t="shared" si="15"/>
        <v>353914.15500000003</v>
      </c>
    </row>
    <row r="497" spans="1:23" x14ac:dyDescent="0.3">
      <c r="A497" s="2" t="s">
        <v>21</v>
      </c>
      <c r="B497" s="2">
        <v>14.005000000000001</v>
      </c>
      <c r="C497" s="2">
        <v>2000868881</v>
      </c>
      <c r="D497" s="2">
        <v>55.7</v>
      </c>
      <c r="E497" s="2"/>
      <c r="F497" s="2">
        <v>225</v>
      </c>
      <c r="G497" s="2">
        <v>525</v>
      </c>
      <c r="H497" s="2"/>
      <c r="I497" s="2"/>
      <c r="J497" s="3">
        <f>IF(A497="Upgrade",IF(OR(H497=4,H497=5),VLOOKUP(I497,'Renewal Rates'!$A$22:$B$27,2,FALSE),2.7%),IF(A497="Renewal",100%,0%))</f>
        <v>2.7000000000000003E-2</v>
      </c>
      <c r="K497" s="2" t="s">
        <v>22</v>
      </c>
      <c r="L497" s="2">
        <v>375</v>
      </c>
      <c r="M497" s="2" t="s">
        <v>23</v>
      </c>
      <c r="N497" s="2" t="s">
        <v>24</v>
      </c>
      <c r="O497" s="4">
        <v>189136</v>
      </c>
      <c r="P497" s="4">
        <v>3398</v>
      </c>
      <c r="Q497" s="4">
        <v>64306</v>
      </c>
      <c r="R497" s="4">
        <v>253442</v>
      </c>
      <c r="S497" s="5">
        <v>0.4</v>
      </c>
      <c r="T497" s="4">
        <v>101377</v>
      </c>
      <c r="U497" s="4">
        <v>354819</v>
      </c>
      <c r="V497" s="6">
        <f t="shared" si="14"/>
        <v>9580.1130000000012</v>
      </c>
      <c r="W497" s="6">
        <f t="shared" si="15"/>
        <v>345238.88699999999</v>
      </c>
    </row>
    <row r="498" spans="1:23" x14ac:dyDescent="0.3">
      <c r="A498" s="2" t="s">
        <v>21</v>
      </c>
      <c r="B498" s="2">
        <v>14.007</v>
      </c>
      <c r="C498" s="2">
        <v>3000140210</v>
      </c>
      <c r="D498" s="2">
        <v>36.1</v>
      </c>
      <c r="E498" s="2"/>
      <c r="F498" s="2">
        <v>300</v>
      </c>
      <c r="G498" s="2">
        <v>750</v>
      </c>
      <c r="H498" s="2">
        <v>4</v>
      </c>
      <c r="I498" s="2" t="s">
        <v>27</v>
      </c>
      <c r="J498" s="3">
        <f>IF(A498="Upgrade",IF(OR(H498=4,H498=5),VLOOKUP(I498,'Renewal Rates'!$A$22:$B$27,2,FALSE),2.7%),IF(A498="Renewal",100%,0%))</f>
        <v>0.116578</v>
      </c>
      <c r="K498" s="2" t="s">
        <v>22</v>
      </c>
      <c r="L498" s="2">
        <v>375</v>
      </c>
      <c r="M498" s="2" t="s">
        <v>23</v>
      </c>
      <c r="N498" s="2" t="s">
        <v>24</v>
      </c>
      <c r="O498" s="4">
        <v>180302</v>
      </c>
      <c r="P498" s="4">
        <v>4999</v>
      </c>
      <c r="Q498" s="4">
        <v>61303</v>
      </c>
      <c r="R498" s="4">
        <v>241604</v>
      </c>
      <c r="S498" s="5">
        <v>0.4</v>
      </c>
      <c r="T498" s="4">
        <v>96642</v>
      </c>
      <c r="U498" s="4">
        <v>338246</v>
      </c>
      <c r="V498" s="6">
        <f t="shared" si="14"/>
        <v>39432.042187999999</v>
      </c>
      <c r="W498" s="6">
        <f t="shared" si="15"/>
        <v>298813.95781200001</v>
      </c>
    </row>
    <row r="499" spans="1:23" x14ac:dyDescent="0.3">
      <c r="A499" s="2" t="s">
        <v>21</v>
      </c>
      <c r="B499" s="2">
        <v>14.007</v>
      </c>
      <c r="C499" s="2">
        <v>3000174478</v>
      </c>
      <c r="D499" s="2">
        <v>10.3</v>
      </c>
      <c r="E499" s="2"/>
      <c r="F499" s="2">
        <v>300</v>
      </c>
      <c r="G499" s="2">
        <v>750</v>
      </c>
      <c r="H499" s="2">
        <v>4</v>
      </c>
      <c r="I499" s="2" t="s">
        <v>27</v>
      </c>
      <c r="J499" s="3">
        <f>IF(A499="Upgrade",IF(OR(H499=4,H499=5),VLOOKUP(I499,'Renewal Rates'!$A$22:$B$27,2,FALSE),2.7%),IF(A499="Renewal",100%,0%))</f>
        <v>0.116578</v>
      </c>
      <c r="K499" s="2" t="s">
        <v>22</v>
      </c>
      <c r="L499" s="2">
        <v>375</v>
      </c>
      <c r="M499" s="2" t="s">
        <v>23</v>
      </c>
      <c r="N499" s="2" t="s">
        <v>24</v>
      </c>
      <c r="O499" s="4">
        <v>82972</v>
      </c>
      <c r="P499" s="4">
        <v>8065</v>
      </c>
      <c r="Q499" s="4">
        <v>28211</v>
      </c>
      <c r="R499" s="4">
        <v>111183</v>
      </c>
      <c r="S499" s="5">
        <v>0.4</v>
      </c>
      <c r="T499" s="4">
        <v>44473</v>
      </c>
      <c r="U499" s="4">
        <v>155656</v>
      </c>
      <c r="V499" s="6">
        <f t="shared" si="14"/>
        <v>18146.065168000001</v>
      </c>
      <c r="W499" s="6">
        <f t="shared" si="15"/>
        <v>137509.934832</v>
      </c>
    </row>
    <row r="500" spans="1:23" x14ac:dyDescent="0.3">
      <c r="A500" s="2" t="s">
        <v>21</v>
      </c>
      <c r="B500" s="2">
        <v>14.007</v>
      </c>
      <c r="C500" s="2">
        <v>2000578500</v>
      </c>
      <c r="D500" s="2">
        <v>18.399999999999999</v>
      </c>
      <c r="E500" s="2"/>
      <c r="F500" s="2">
        <v>300</v>
      </c>
      <c r="G500" s="2">
        <v>750</v>
      </c>
      <c r="H500" s="2">
        <v>4</v>
      </c>
      <c r="I500" s="2">
        <v>2</v>
      </c>
      <c r="J500" s="3">
        <f>IF(A500="Upgrade",IF(OR(H500=4,H500=5),VLOOKUP(I500,'Renewal Rates'!$A$22:$B$27,2,FALSE),2.7%),IF(A500="Renewal",100%,0%))</f>
        <v>0</v>
      </c>
      <c r="K500" s="2" t="s">
        <v>22</v>
      </c>
      <c r="L500" s="2">
        <v>375</v>
      </c>
      <c r="M500" s="2" t="s">
        <v>23</v>
      </c>
      <c r="N500" s="2" t="s">
        <v>24</v>
      </c>
      <c r="O500" s="4">
        <v>94047</v>
      </c>
      <c r="P500" s="4">
        <v>5102</v>
      </c>
      <c r="Q500" s="4">
        <v>31976</v>
      </c>
      <c r="R500" s="4">
        <v>126023</v>
      </c>
      <c r="S500" s="5">
        <v>0.4</v>
      </c>
      <c r="T500" s="4">
        <v>50409</v>
      </c>
      <c r="U500" s="4">
        <v>176432</v>
      </c>
      <c r="V500" s="6">
        <f t="shared" si="14"/>
        <v>0</v>
      </c>
      <c r="W500" s="6">
        <f t="shared" si="15"/>
        <v>176432</v>
      </c>
    </row>
    <row r="501" spans="1:23" x14ac:dyDescent="0.3">
      <c r="A501" s="2" t="s">
        <v>21</v>
      </c>
      <c r="B501" s="2">
        <v>14.007</v>
      </c>
      <c r="C501" s="2">
        <v>2000120788</v>
      </c>
      <c r="D501" s="2">
        <v>10.9</v>
      </c>
      <c r="E501" s="2"/>
      <c r="F501" s="2">
        <v>300</v>
      </c>
      <c r="G501" s="2">
        <v>750</v>
      </c>
      <c r="H501" s="2"/>
      <c r="I501" s="2"/>
      <c r="J501" s="3">
        <f>IF(A501="Upgrade",IF(OR(H501=4,H501=5),VLOOKUP(I501,'Renewal Rates'!$A$22:$B$27,2,FALSE),2.7%),IF(A501="Renewal",100%,0%))</f>
        <v>2.7000000000000003E-2</v>
      </c>
      <c r="K501" s="2" t="s">
        <v>22</v>
      </c>
      <c r="L501" s="2">
        <v>375</v>
      </c>
      <c r="M501" s="2" t="s">
        <v>23</v>
      </c>
      <c r="N501" s="2" t="s">
        <v>24</v>
      </c>
      <c r="O501" s="4">
        <v>83844</v>
      </c>
      <c r="P501" s="4">
        <v>7672</v>
      </c>
      <c r="Q501" s="4">
        <v>28507</v>
      </c>
      <c r="R501" s="4">
        <v>112351</v>
      </c>
      <c r="S501" s="5">
        <v>0.4</v>
      </c>
      <c r="T501" s="4">
        <v>44940</v>
      </c>
      <c r="U501" s="4">
        <v>157292</v>
      </c>
      <c r="V501" s="6">
        <f t="shared" si="14"/>
        <v>4246.8840000000009</v>
      </c>
      <c r="W501" s="6">
        <f t="shared" si="15"/>
        <v>153045.11600000001</v>
      </c>
    </row>
    <row r="502" spans="1:23" x14ac:dyDescent="0.3">
      <c r="A502" s="2" t="s">
        <v>21</v>
      </c>
      <c r="B502" s="2">
        <v>15.013999999999999</v>
      </c>
      <c r="C502" s="2">
        <v>3000174541</v>
      </c>
      <c r="D502" s="2">
        <v>7.8</v>
      </c>
      <c r="E502" s="2"/>
      <c r="F502" s="2">
        <v>600</v>
      </c>
      <c r="G502" s="2">
        <v>675</v>
      </c>
      <c r="H502" s="2"/>
      <c r="I502" s="2"/>
      <c r="J502" s="3">
        <f>IF(A502="Upgrade",IF(OR(H502=4,H502=5),VLOOKUP(I502,'Renewal Rates'!$A$22:$B$27,2,FALSE),2.7%),IF(A502="Renewal",100%,0%))</f>
        <v>2.7000000000000003E-2</v>
      </c>
      <c r="K502" s="2" t="s">
        <v>22</v>
      </c>
      <c r="L502" s="2">
        <v>377</v>
      </c>
      <c r="M502" s="2" t="s">
        <v>23</v>
      </c>
      <c r="N502" s="2" t="s">
        <v>24</v>
      </c>
      <c r="O502" s="4">
        <v>82775</v>
      </c>
      <c r="P502" s="4">
        <v>10579</v>
      </c>
      <c r="Q502" s="4">
        <v>28143</v>
      </c>
      <c r="R502" s="4">
        <v>110918</v>
      </c>
      <c r="S502" s="5">
        <v>0.4</v>
      </c>
      <c r="T502" s="4">
        <v>44367</v>
      </c>
      <c r="U502" s="4">
        <v>155286</v>
      </c>
      <c r="V502" s="6">
        <f t="shared" si="14"/>
        <v>4192.7220000000007</v>
      </c>
      <c r="W502" s="6">
        <f t="shared" si="15"/>
        <v>151093.27799999999</v>
      </c>
    </row>
    <row r="503" spans="1:23" x14ac:dyDescent="0.3">
      <c r="A503" s="2" t="s">
        <v>21</v>
      </c>
      <c r="B503" s="2">
        <v>15.013999999999999</v>
      </c>
      <c r="C503" s="2">
        <v>3000174539</v>
      </c>
      <c r="D503" s="2">
        <v>2.7</v>
      </c>
      <c r="E503" s="2"/>
      <c r="F503" s="2">
        <v>600</v>
      </c>
      <c r="G503" s="2">
        <v>675</v>
      </c>
      <c r="H503" s="2"/>
      <c r="I503" s="2"/>
      <c r="J503" s="3">
        <f>IF(A503="Upgrade",IF(OR(H503=4,H503=5),VLOOKUP(I503,'Renewal Rates'!$A$22:$B$27,2,FALSE),2.7%),IF(A503="Renewal",100%,0%))</f>
        <v>2.7000000000000003E-2</v>
      </c>
      <c r="K503" s="2" t="s">
        <v>22</v>
      </c>
      <c r="L503" s="2">
        <v>377</v>
      </c>
      <c r="M503" s="2" t="s">
        <v>23</v>
      </c>
      <c r="N503" s="2" t="s">
        <v>24</v>
      </c>
      <c r="O503" s="4">
        <v>53187</v>
      </c>
      <c r="P503" s="4">
        <v>20051</v>
      </c>
      <c r="Q503" s="4">
        <v>18083</v>
      </c>
      <c r="R503" s="4">
        <v>71270</v>
      </c>
      <c r="S503" s="5">
        <v>0.4</v>
      </c>
      <c r="T503" s="4">
        <v>28508</v>
      </c>
      <c r="U503" s="4">
        <v>99778</v>
      </c>
      <c r="V503" s="6">
        <f t="shared" si="14"/>
        <v>2694.0060000000003</v>
      </c>
      <c r="W503" s="6">
        <f t="shared" si="15"/>
        <v>97083.994000000006</v>
      </c>
    </row>
    <row r="504" spans="1:23" x14ac:dyDescent="0.3">
      <c r="A504" s="2" t="s">
        <v>21</v>
      </c>
      <c r="B504" s="2">
        <v>15.013999999999999</v>
      </c>
      <c r="C504" s="2">
        <v>3000174542</v>
      </c>
      <c r="D504" s="2">
        <v>23.9</v>
      </c>
      <c r="E504" s="2"/>
      <c r="F504" s="2">
        <v>600</v>
      </c>
      <c r="G504" s="2">
        <v>675</v>
      </c>
      <c r="H504" s="2">
        <v>4</v>
      </c>
      <c r="I504" s="2" t="s">
        <v>27</v>
      </c>
      <c r="J504" s="3">
        <f>IF(A504="Upgrade",IF(OR(H504=4,H504=5),VLOOKUP(I504,'Renewal Rates'!$A$22:$B$27,2,FALSE),2.7%),IF(A504="Renewal",100%,0%))</f>
        <v>0.116578</v>
      </c>
      <c r="K504" s="2" t="s">
        <v>22</v>
      </c>
      <c r="L504" s="2">
        <v>377</v>
      </c>
      <c r="M504" s="2" t="s">
        <v>23</v>
      </c>
      <c r="N504" s="2" t="s">
        <v>24</v>
      </c>
      <c r="O504" s="4">
        <v>117539</v>
      </c>
      <c r="P504" s="4">
        <v>4908</v>
      </c>
      <c r="Q504" s="4">
        <v>39963</v>
      </c>
      <c r="R504" s="4">
        <v>157502</v>
      </c>
      <c r="S504" s="5">
        <v>0.4</v>
      </c>
      <c r="T504" s="4">
        <v>63001</v>
      </c>
      <c r="U504" s="4">
        <v>220503</v>
      </c>
      <c r="V504" s="6">
        <f t="shared" si="14"/>
        <v>25705.798734</v>
      </c>
      <c r="W504" s="6">
        <f t="shared" si="15"/>
        <v>194797.20126599999</v>
      </c>
    </row>
    <row r="505" spans="1:23" x14ac:dyDescent="0.3">
      <c r="A505" s="2" t="s">
        <v>21</v>
      </c>
      <c r="B505" s="2">
        <v>15.013999999999999</v>
      </c>
      <c r="C505" s="2">
        <v>2000949657</v>
      </c>
      <c r="D505" s="2">
        <v>31.3</v>
      </c>
      <c r="E505" s="2"/>
      <c r="F505" s="2">
        <v>450</v>
      </c>
      <c r="G505" s="2">
        <v>675</v>
      </c>
      <c r="H505" s="2"/>
      <c r="I505" s="2"/>
      <c r="J505" s="3">
        <f>IF(A505="Upgrade",IF(OR(H505=4,H505=5),VLOOKUP(I505,'Renewal Rates'!$A$22:$B$27,2,FALSE),2.7%),IF(A505="Renewal",100%,0%))</f>
        <v>2.7000000000000003E-2</v>
      </c>
      <c r="K505" s="2" t="s">
        <v>22</v>
      </c>
      <c r="L505" s="2">
        <v>377</v>
      </c>
      <c r="M505" s="2" t="s">
        <v>23</v>
      </c>
      <c r="N505" s="2" t="s">
        <v>24</v>
      </c>
      <c r="O505" s="4">
        <v>126378</v>
      </c>
      <c r="P505" s="4">
        <v>4033</v>
      </c>
      <c r="Q505" s="4">
        <v>42969</v>
      </c>
      <c r="R505" s="4">
        <v>169347</v>
      </c>
      <c r="S505" s="5">
        <v>0.4</v>
      </c>
      <c r="T505" s="4">
        <v>67739</v>
      </c>
      <c r="U505" s="4">
        <v>237085</v>
      </c>
      <c r="V505" s="6">
        <f t="shared" si="14"/>
        <v>6401.295000000001</v>
      </c>
      <c r="W505" s="6">
        <f t="shared" si="15"/>
        <v>230683.70499999999</v>
      </c>
    </row>
    <row r="506" spans="1:23" x14ac:dyDescent="0.3">
      <c r="A506" s="2" t="s">
        <v>21</v>
      </c>
      <c r="B506" s="2">
        <v>15.012</v>
      </c>
      <c r="C506" s="2">
        <v>2000384071</v>
      </c>
      <c r="D506" s="2">
        <v>62.1</v>
      </c>
      <c r="E506" s="2"/>
      <c r="F506" s="2">
        <v>450</v>
      </c>
      <c r="G506" s="2">
        <v>675</v>
      </c>
      <c r="H506" s="2"/>
      <c r="I506" s="2"/>
      <c r="J506" s="3">
        <f>IF(A506="Upgrade",IF(OR(H506=4,H506=5),VLOOKUP(I506,'Renewal Rates'!$A$22:$B$27,2,FALSE),2.7%),IF(A506="Renewal",100%,0%))</f>
        <v>2.7000000000000003E-2</v>
      </c>
      <c r="K506" s="2" t="s">
        <v>22</v>
      </c>
      <c r="L506" s="2">
        <v>377</v>
      </c>
      <c r="M506" s="2" t="s">
        <v>23</v>
      </c>
      <c r="N506" s="2" t="s">
        <v>24</v>
      </c>
      <c r="O506" s="4">
        <v>246516</v>
      </c>
      <c r="P506" s="4">
        <v>3967</v>
      </c>
      <c r="Q506" s="4">
        <v>83816</v>
      </c>
      <c r="R506" s="4">
        <v>330332</v>
      </c>
      <c r="S506" s="5">
        <v>0.4</v>
      </c>
      <c r="T506" s="4">
        <v>132133</v>
      </c>
      <c r="U506" s="4">
        <v>462464</v>
      </c>
      <c r="V506" s="6">
        <f t="shared" si="14"/>
        <v>12486.528000000002</v>
      </c>
      <c r="W506" s="6">
        <f t="shared" si="15"/>
        <v>449977.47200000001</v>
      </c>
    </row>
    <row r="507" spans="1:23" x14ac:dyDescent="0.3">
      <c r="A507" s="2" t="s">
        <v>21</v>
      </c>
      <c r="B507" s="2">
        <v>15.010999999999999</v>
      </c>
      <c r="C507" s="2">
        <v>2000175143</v>
      </c>
      <c r="D507" s="2">
        <v>16.100000000000001</v>
      </c>
      <c r="E507" s="2"/>
      <c r="F507" s="2">
        <v>225</v>
      </c>
      <c r="G507" s="2">
        <v>525</v>
      </c>
      <c r="H507" s="2"/>
      <c r="I507" s="2"/>
      <c r="J507" s="3">
        <f>IF(A507="Upgrade",IF(OR(H507=4,H507=5),VLOOKUP(I507,'Renewal Rates'!$A$22:$B$27,2,FALSE),2.7%),IF(A507="Renewal",100%,0%))</f>
        <v>2.7000000000000003E-2</v>
      </c>
      <c r="K507" s="2" t="s">
        <v>22</v>
      </c>
      <c r="L507" s="2">
        <v>375</v>
      </c>
      <c r="M507" s="2" t="s">
        <v>23</v>
      </c>
      <c r="N507" s="2" t="s">
        <v>24</v>
      </c>
      <c r="O507" s="4">
        <v>77386</v>
      </c>
      <c r="P507" s="4">
        <v>4818</v>
      </c>
      <c r="Q507" s="4">
        <v>26311</v>
      </c>
      <c r="R507" s="4">
        <v>103697</v>
      </c>
      <c r="S507" s="5">
        <v>0.4</v>
      </c>
      <c r="T507" s="4">
        <v>41479</v>
      </c>
      <c r="U507" s="4">
        <v>145176</v>
      </c>
      <c r="V507" s="6">
        <f t="shared" si="14"/>
        <v>3919.7520000000004</v>
      </c>
      <c r="W507" s="6">
        <f t="shared" si="15"/>
        <v>141256.24799999999</v>
      </c>
    </row>
    <row r="508" spans="1:23" x14ac:dyDescent="0.3">
      <c r="A508" s="2" t="s">
        <v>21</v>
      </c>
      <c r="B508" s="2">
        <v>15.010999999999999</v>
      </c>
      <c r="C508" s="2">
        <v>2000525512</v>
      </c>
      <c r="D508" s="2">
        <v>63.2</v>
      </c>
      <c r="E508" s="2"/>
      <c r="F508" s="2">
        <v>225</v>
      </c>
      <c r="G508" s="2">
        <v>525</v>
      </c>
      <c r="H508" s="2"/>
      <c r="I508" s="2"/>
      <c r="J508" s="3">
        <f>IF(A508="Upgrade",IF(OR(H508=4,H508=5),VLOOKUP(I508,'Renewal Rates'!$A$22:$B$27,2,FALSE),2.7%),IF(A508="Renewal",100%,0%))</f>
        <v>2.7000000000000003E-2</v>
      </c>
      <c r="K508" s="2" t="s">
        <v>22</v>
      </c>
      <c r="L508" s="2">
        <v>375</v>
      </c>
      <c r="M508" s="2" t="s">
        <v>23</v>
      </c>
      <c r="N508" s="2" t="s">
        <v>24</v>
      </c>
      <c r="O508" s="4">
        <v>195735</v>
      </c>
      <c r="P508" s="4">
        <v>3096</v>
      </c>
      <c r="Q508" s="4">
        <v>66550</v>
      </c>
      <c r="R508" s="4">
        <v>262285</v>
      </c>
      <c r="S508" s="5">
        <v>0.4</v>
      </c>
      <c r="T508" s="4">
        <v>104914</v>
      </c>
      <c r="U508" s="4">
        <v>367200</v>
      </c>
      <c r="V508" s="6">
        <f t="shared" si="14"/>
        <v>9914.4000000000015</v>
      </c>
      <c r="W508" s="6">
        <f t="shared" si="15"/>
        <v>357285.6</v>
      </c>
    </row>
    <row r="509" spans="1:23" x14ac:dyDescent="0.3">
      <c r="A509" s="2" t="s">
        <v>21</v>
      </c>
      <c r="B509" s="2">
        <v>15.010999999999999</v>
      </c>
      <c r="C509" s="2">
        <v>2000218364</v>
      </c>
      <c r="D509" s="2">
        <v>80.5</v>
      </c>
      <c r="E509" s="2"/>
      <c r="F509" s="2">
        <v>375</v>
      </c>
      <c r="G509" s="2">
        <v>525</v>
      </c>
      <c r="H509" s="2"/>
      <c r="I509" s="2"/>
      <c r="J509" s="3">
        <f>IF(A509="Upgrade",IF(OR(H509=4,H509=5),VLOOKUP(I509,'Renewal Rates'!$A$22:$B$27,2,FALSE),2.7%),IF(A509="Renewal",100%,0%))</f>
        <v>2.7000000000000003E-2</v>
      </c>
      <c r="K509" s="2" t="s">
        <v>22</v>
      </c>
      <c r="L509" s="2">
        <v>375</v>
      </c>
      <c r="M509" s="2" t="s">
        <v>23</v>
      </c>
      <c r="N509" s="2" t="s">
        <v>24</v>
      </c>
      <c r="O509" s="4">
        <v>249694</v>
      </c>
      <c r="P509" s="4">
        <v>3102</v>
      </c>
      <c r="Q509" s="4">
        <v>84896</v>
      </c>
      <c r="R509" s="4">
        <v>334589</v>
      </c>
      <c r="S509" s="5">
        <v>0.4</v>
      </c>
      <c r="T509" s="4">
        <v>133836</v>
      </c>
      <c r="U509" s="4">
        <v>468425</v>
      </c>
      <c r="V509" s="6">
        <f t="shared" si="14"/>
        <v>12647.475000000002</v>
      </c>
      <c r="W509" s="6">
        <f t="shared" si="15"/>
        <v>455777.52500000002</v>
      </c>
    </row>
    <row r="510" spans="1:23" x14ac:dyDescent="0.3">
      <c r="A510" s="2" t="s">
        <v>21</v>
      </c>
      <c r="B510" s="2">
        <v>15.013</v>
      </c>
      <c r="C510" s="2">
        <v>2000567388</v>
      </c>
      <c r="D510" s="2">
        <v>37.1</v>
      </c>
      <c r="E510" s="2"/>
      <c r="F510" s="2">
        <v>375</v>
      </c>
      <c r="G510" s="2">
        <v>525</v>
      </c>
      <c r="H510" s="2"/>
      <c r="I510" s="2"/>
      <c r="J510" s="3">
        <f>IF(A510="Upgrade",IF(OR(H510=4,H510=5),VLOOKUP(I510,'Renewal Rates'!$A$22:$B$27,2,FALSE),2.7%),IF(A510="Renewal",100%,0%))</f>
        <v>2.7000000000000003E-2</v>
      </c>
      <c r="K510" s="2" t="s">
        <v>22</v>
      </c>
      <c r="L510" s="2">
        <v>375</v>
      </c>
      <c r="M510" s="2" t="s">
        <v>23</v>
      </c>
      <c r="N510" s="2" t="s">
        <v>24</v>
      </c>
      <c r="O510" s="4">
        <v>131610</v>
      </c>
      <c r="P510" s="4">
        <v>3543</v>
      </c>
      <c r="Q510" s="4">
        <v>44747</v>
      </c>
      <c r="R510" s="4">
        <v>176357</v>
      </c>
      <c r="S510" s="5">
        <v>0.4</v>
      </c>
      <c r="T510" s="4">
        <v>70543</v>
      </c>
      <c r="U510" s="4">
        <v>246900</v>
      </c>
      <c r="V510" s="6">
        <f t="shared" si="14"/>
        <v>6666.3000000000011</v>
      </c>
      <c r="W510" s="6">
        <f t="shared" si="15"/>
        <v>240233.7</v>
      </c>
    </row>
    <row r="511" spans="1:23" x14ac:dyDescent="0.3">
      <c r="A511" s="2" t="s">
        <v>21</v>
      </c>
      <c r="B511" s="2">
        <v>15.01</v>
      </c>
      <c r="C511" s="2">
        <v>2000812480</v>
      </c>
      <c r="D511" s="2">
        <v>62</v>
      </c>
      <c r="E511" s="2"/>
      <c r="F511" s="2">
        <v>375</v>
      </c>
      <c r="G511" s="2">
        <v>450</v>
      </c>
      <c r="H511" s="2"/>
      <c r="I511" s="2"/>
      <c r="J511" s="3">
        <f>IF(A511="Upgrade",IF(OR(H511=4,H511=5),VLOOKUP(I511,'Renewal Rates'!$A$22:$B$27,2,FALSE),2.7%),IF(A511="Renewal",100%,0%))</f>
        <v>2.7000000000000003E-2</v>
      </c>
      <c r="K511" s="2" t="s">
        <v>22</v>
      </c>
      <c r="L511" s="2">
        <v>375</v>
      </c>
      <c r="M511" s="2" t="s">
        <v>23</v>
      </c>
      <c r="N511" s="2" t="s">
        <v>24</v>
      </c>
      <c r="O511" s="4">
        <v>185649</v>
      </c>
      <c r="P511" s="4">
        <v>2996</v>
      </c>
      <c r="Q511" s="4">
        <v>63121</v>
      </c>
      <c r="R511" s="4">
        <v>248770</v>
      </c>
      <c r="S511" s="5">
        <v>0.4</v>
      </c>
      <c r="T511" s="4">
        <v>99508</v>
      </c>
      <c r="U511" s="4">
        <v>348278</v>
      </c>
      <c r="V511" s="6">
        <f t="shared" si="14"/>
        <v>9403.5060000000012</v>
      </c>
      <c r="W511" s="6">
        <f t="shared" si="15"/>
        <v>338874.49400000001</v>
      </c>
    </row>
    <row r="512" spans="1:23" x14ac:dyDescent="0.3">
      <c r="A512" s="2" t="s">
        <v>21</v>
      </c>
      <c r="B512" s="2">
        <v>15.01</v>
      </c>
      <c r="C512" s="2">
        <v>2000125219</v>
      </c>
      <c r="D512" s="2">
        <v>43</v>
      </c>
      <c r="E512" s="2"/>
      <c r="F512" s="2">
        <v>300</v>
      </c>
      <c r="G512" s="2">
        <v>450</v>
      </c>
      <c r="H512" s="2"/>
      <c r="I512" s="2"/>
      <c r="J512" s="3">
        <f>IF(A512="Upgrade",IF(OR(H512=4,H512=5),VLOOKUP(I512,'Renewal Rates'!$A$22:$B$27,2,FALSE),2.7%),IF(A512="Renewal",100%,0%))</f>
        <v>2.7000000000000003E-2</v>
      </c>
      <c r="K512" s="2" t="s">
        <v>22</v>
      </c>
      <c r="L512" s="2">
        <v>375</v>
      </c>
      <c r="M512" s="2" t="s">
        <v>23</v>
      </c>
      <c r="N512" s="2" t="s">
        <v>24</v>
      </c>
      <c r="O512" s="4">
        <v>113942</v>
      </c>
      <c r="P512" s="4">
        <v>2647</v>
      </c>
      <c r="Q512" s="4">
        <v>38740</v>
      </c>
      <c r="R512" s="4">
        <v>152682</v>
      </c>
      <c r="S512" s="5">
        <v>0.4</v>
      </c>
      <c r="T512" s="4">
        <v>61073</v>
      </c>
      <c r="U512" s="4">
        <v>213754</v>
      </c>
      <c r="V512" s="6">
        <f t="shared" si="14"/>
        <v>5771.3580000000011</v>
      </c>
      <c r="W512" s="6">
        <f t="shared" si="15"/>
        <v>207982.64199999999</v>
      </c>
    </row>
    <row r="513" spans="1:23" x14ac:dyDescent="0.3">
      <c r="A513" s="2" t="s">
        <v>21</v>
      </c>
      <c r="B513" s="2">
        <v>15.01</v>
      </c>
      <c r="C513" s="2">
        <v>2000029358</v>
      </c>
      <c r="D513" s="2">
        <v>32.299999999999997</v>
      </c>
      <c r="E513" s="2"/>
      <c r="F513" s="2">
        <v>225</v>
      </c>
      <c r="G513" s="2">
        <v>450</v>
      </c>
      <c r="H513" s="2"/>
      <c r="I513" s="2"/>
      <c r="J513" s="3">
        <f>IF(A513="Upgrade",IF(OR(H513=4,H513=5),VLOOKUP(I513,'Renewal Rates'!$A$22:$B$27,2,FALSE),2.7%),IF(A513="Renewal",100%,0%))</f>
        <v>2.7000000000000003E-2</v>
      </c>
      <c r="K513" s="2" t="s">
        <v>22</v>
      </c>
      <c r="L513" s="2">
        <v>375</v>
      </c>
      <c r="M513" s="2" t="s">
        <v>23</v>
      </c>
      <c r="N513" s="2" t="s">
        <v>24</v>
      </c>
      <c r="O513" s="4">
        <v>106313</v>
      </c>
      <c r="P513" s="4">
        <v>3288</v>
      </c>
      <c r="Q513" s="4">
        <v>36146</v>
      </c>
      <c r="R513" s="4">
        <v>142459</v>
      </c>
      <c r="S513" s="5">
        <v>0.4</v>
      </c>
      <c r="T513" s="4">
        <v>56984</v>
      </c>
      <c r="U513" s="4">
        <v>199442</v>
      </c>
      <c r="V513" s="6">
        <f t="shared" si="14"/>
        <v>5384.9340000000002</v>
      </c>
      <c r="W513" s="6">
        <f t="shared" si="15"/>
        <v>194057.06599999999</v>
      </c>
    </row>
    <row r="514" spans="1:23" x14ac:dyDescent="0.3">
      <c r="A514" s="2" t="s">
        <v>21</v>
      </c>
      <c r="B514" s="2">
        <v>15.01</v>
      </c>
      <c r="C514" s="2">
        <v>2000880172</v>
      </c>
      <c r="D514" s="2">
        <v>40.299999999999997</v>
      </c>
      <c r="E514" s="2"/>
      <c r="F514" s="2">
        <v>225</v>
      </c>
      <c r="G514" s="2">
        <v>450</v>
      </c>
      <c r="H514" s="2"/>
      <c r="I514" s="2"/>
      <c r="J514" s="3">
        <f>IF(A514="Upgrade",IF(OR(H514=4,H514=5),VLOOKUP(I514,'Renewal Rates'!$A$22:$B$27,2,FALSE),2.7%),IF(A514="Renewal",100%,0%))</f>
        <v>2.7000000000000003E-2</v>
      </c>
      <c r="K514" s="2" t="s">
        <v>22</v>
      </c>
      <c r="L514" s="2">
        <v>375</v>
      </c>
      <c r="M514" s="2" t="s">
        <v>23</v>
      </c>
      <c r="N514" s="2" t="s">
        <v>24</v>
      </c>
      <c r="O514" s="4">
        <v>128369</v>
      </c>
      <c r="P514" s="4">
        <v>3185</v>
      </c>
      <c r="Q514" s="4">
        <v>43645</v>
      </c>
      <c r="R514" s="4">
        <v>172014</v>
      </c>
      <c r="S514" s="5">
        <v>0.4</v>
      </c>
      <c r="T514" s="4">
        <v>68806</v>
      </c>
      <c r="U514" s="4">
        <v>240820</v>
      </c>
      <c r="V514" s="6">
        <f t="shared" si="14"/>
        <v>6502.14</v>
      </c>
      <c r="W514" s="6">
        <f t="shared" si="15"/>
        <v>234317.86</v>
      </c>
    </row>
    <row r="515" spans="1:23" x14ac:dyDescent="0.3">
      <c r="A515" s="2" t="s">
        <v>21</v>
      </c>
      <c r="B515" s="2">
        <v>15.003</v>
      </c>
      <c r="C515" s="2">
        <v>2000470449</v>
      </c>
      <c r="D515" s="2">
        <v>31.5</v>
      </c>
      <c r="E515" s="2"/>
      <c r="F515" s="2">
        <v>225</v>
      </c>
      <c r="G515" s="2">
        <v>825</v>
      </c>
      <c r="H515" s="2"/>
      <c r="I515" s="2"/>
      <c r="J515" s="3">
        <f>IF(A515="Upgrade",IF(OR(H515=4,H515=5),VLOOKUP(I515,'Renewal Rates'!$A$22:$B$27,2,FALSE),2.7%),IF(A515="Renewal",100%,0%))</f>
        <v>2.7000000000000003E-2</v>
      </c>
      <c r="K515" s="7" t="s">
        <v>29</v>
      </c>
      <c r="L515" s="2">
        <v>377</v>
      </c>
      <c r="M515" s="2" t="s">
        <v>23</v>
      </c>
      <c r="N515" s="2" t="s">
        <v>24</v>
      </c>
      <c r="O515" s="4">
        <v>151233</v>
      </c>
      <c r="P515" s="4">
        <v>4807</v>
      </c>
      <c r="Q515" s="4">
        <v>60771</v>
      </c>
      <c r="R515" s="4">
        <v>239511</v>
      </c>
      <c r="S515" s="5">
        <v>0.4</v>
      </c>
      <c r="T515" s="4">
        <v>95804</v>
      </c>
      <c r="U515" s="4">
        <v>335316</v>
      </c>
      <c r="V515" s="6">
        <f t="shared" ref="V515:V578" si="16">J515*U515</f>
        <v>9053.5320000000011</v>
      </c>
      <c r="W515" s="6">
        <f t="shared" ref="W515:W578" si="17">U515-V515</f>
        <v>326262.46799999999</v>
      </c>
    </row>
    <row r="516" spans="1:23" x14ac:dyDescent="0.3">
      <c r="A516" s="2" t="s">
        <v>21</v>
      </c>
      <c r="B516" s="2">
        <v>15.003</v>
      </c>
      <c r="C516" s="2">
        <v>2000425501</v>
      </c>
      <c r="D516" s="2">
        <v>38.299999999999997</v>
      </c>
      <c r="E516" s="2"/>
      <c r="F516" s="2">
        <v>225</v>
      </c>
      <c r="G516" s="2">
        <v>825</v>
      </c>
      <c r="H516" s="2"/>
      <c r="I516" s="2"/>
      <c r="J516" s="3">
        <f>IF(A516="Upgrade",IF(OR(H516=4,H516=5),VLOOKUP(I516,'Renewal Rates'!$A$22:$B$27,2,FALSE),2.7%),IF(A516="Renewal",100%,0%))</f>
        <v>2.7000000000000003E-2</v>
      </c>
      <c r="K516" s="7" t="s">
        <v>29</v>
      </c>
      <c r="L516" s="2">
        <v>377</v>
      </c>
      <c r="M516" s="2" t="s">
        <v>23</v>
      </c>
      <c r="N516" s="2" t="s">
        <v>24</v>
      </c>
      <c r="O516" s="4">
        <v>142082</v>
      </c>
      <c r="P516" s="4">
        <v>3706</v>
      </c>
      <c r="Q516" s="4">
        <v>62986</v>
      </c>
      <c r="R516" s="4">
        <v>248240</v>
      </c>
      <c r="S516" s="5">
        <v>0.4</v>
      </c>
      <c r="T516" s="4">
        <v>99296</v>
      </c>
      <c r="U516" s="4">
        <v>347537</v>
      </c>
      <c r="V516" s="6">
        <f t="shared" si="16"/>
        <v>9383.4990000000016</v>
      </c>
      <c r="W516" s="6">
        <f t="shared" si="17"/>
        <v>338153.50099999999</v>
      </c>
    </row>
    <row r="517" spans="1:23" x14ac:dyDescent="0.3">
      <c r="A517" s="2" t="s">
        <v>21</v>
      </c>
      <c r="B517" s="2">
        <v>15.003</v>
      </c>
      <c r="C517" s="2">
        <v>2000752217</v>
      </c>
      <c r="D517" s="2">
        <v>57</v>
      </c>
      <c r="E517" s="2">
        <v>0</v>
      </c>
      <c r="F517" s="2">
        <v>225</v>
      </c>
      <c r="G517" s="2">
        <v>825</v>
      </c>
      <c r="H517" s="2"/>
      <c r="I517" s="2"/>
      <c r="J517" s="3">
        <f>IF(A517="Upgrade",IF(OR(H517=4,H517=5),VLOOKUP(I517,'Renewal Rates'!$A$22:$B$27,2,FALSE),2.7%),IF(A517="Renewal",100%,0%))</f>
        <v>2.7000000000000003E-2</v>
      </c>
      <c r="K517" s="7" t="s">
        <v>29</v>
      </c>
      <c r="L517" s="2">
        <v>377</v>
      </c>
      <c r="M517" s="2" t="s">
        <v>23</v>
      </c>
      <c r="N517" s="2" t="s">
        <v>24</v>
      </c>
      <c r="O517" s="4">
        <v>241029</v>
      </c>
      <c r="P517" s="4">
        <v>4230</v>
      </c>
      <c r="Q517" s="4">
        <v>94032</v>
      </c>
      <c r="R517" s="4">
        <v>370598</v>
      </c>
      <c r="S517" s="5">
        <v>0.4</v>
      </c>
      <c r="T517" s="4">
        <v>148239</v>
      </c>
      <c r="U517" s="4">
        <v>518837</v>
      </c>
      <c r="V517" s="6">
        <f t="shared" si="16"/>
        <v>14008.599000000002</v>
      </c>
      <c r="W517" s="6">
        <f t="shared" si="17"/>
        <v>504828.40100000001</v>
      </c>
    </row>
    <row r="518" spans="1:23" x14ac:dyDescent="0.3">
      <c r="A518" s="2" t="s">
        <v>25</v>
      </c>
      <c r="B518" s="2">
        <v>15.000999999999999</v>
      </c>
      <c r="C518" s="2">
        <v>0</v>
      </c>
      <c r="D518" s="2"/>
      <c r="E518" s="2">
        <v>89</v>
      </c>
      <c r="F518" s="2"/>
      <c r="G518" s="2">
        <v>450</v>
      </c>
      <c r="H518" s="2"/>
      <c r="I518" s="2"/>
      <c r="J518" s="3">
        <f>IF(A518="Upgrade",IF(OR(H518=4,H518=5),VLOOKUP(I518,'Renewal Rates'!$A$22:$B$27,2,FALSE),2.7%),IF(A518="Renewal",100%,0%))</f>
        <v>0</v>
      </c>
      <c r="K518" s="7" t="s">
        <v>29</v>
      </c>
      <c r="L518" s="2">
        <v>377</v>
      </c>
      <c r="M518" s="2" t="s">
        <v>23</v>
      </c>
      <c r="N518" s="2" t="s">
        <v>24</v>
      </c>
      <c r="O518" s="4">
        <v>185790</v>
      </c>
      <c r="P518" s="4">
        <v>2088</v>
      </c>
      <c r="Q518" s="4">
        <v>82886</v>
      </c>
      <c r="R518" s="4">
        <v>326667</v>
      </c>
      <c r="S518" s="5">
        <v>0.4</v>
      </c>
      <c r="T518" s="4">
        <v>130667</v>
      </c>
      <c r="U518" s="4">
        <v>457334</v>
      </c>
      <c r="V518" s="6">
        <f t="shared" si="16"/>
        <v>0</v>
      </c>
      <c r="W518" s="6">
        <f t="shared" si="17"/>
        <v>457334</v>
      </c>
    </row>
    <row r="519" spans="1:23" x14ac:dyDescent="0.3">
      <c r="A519" s="2" t="s">
        <v>25</v>
      </c>
      <c r="B519" s="2">
        <v>10.002000000000001</v>
      </c>
      <c r="C519" s="2">
        <v>0</v>
      </c>
      <c r="D519" s="2"/>
      <c r="E519" s="2">
        <v>83.2</v>
      </c>
      <c r="F519" s="2"/>
      <c r="G519" s="2">
        <v>450</v>
      </c>
      <c r="H519" s="2"/>
      <c r="I519" s="2"/>
      <c r="J519" s="3">
        <f>IF(A519="Upgrade",IF(OR(H519=4,H519=5),VLOOKUP(I519,'Renewal Rates'!$A$22:$B$27,2,FALSE),2.7%),IF(A519="Renewal",100%,0%))</f>
        <v>0</v>
      </c>
      <c r="K519" s="7" t="s">
        <v>32</v>
      </c>
      <c r="L519" s="2">
        <v>377</v>
      </c>
      <c r="M519" s="2" t="s">
        <v>23</v>
      </c>
      <c r="N519" s="2" t="s">
        <v>24</v>
      </c>
      <c r="O519" s="4">
        <v>195830</v>
      </c>
      <c r="P519" s="4">
        <v>2353</v>
      </c>
      <c r="Q519" s="4">
        <v>80448</v>
      </c>
      <c r="R519" s="4">
        <v>317060</v>
      </c>
      <c r="S519" s="5">
        <v>0.4</v>
      </c>
      <c r="T519" s="4">
        <v>126824</v>
      </c>
      <c r="U519" s="4">
        <v>443884</v>
      </c>
      <c r="V519" s="6">
        <f t="shared" si="16"/>
        <v>0</v>
      </c>
      <c r="W519" s="6">
        <f t="shared" si="17"/>
        <v>443884</v>
      </c>
    </row>
    <row r="520" spans="1:23" x14ac:dyDescent="0.3">
      <c r="A520" s="2" t="s">
        <v>25</v>
      </c>
      <c r="B520" s="2">
        <v>10.003</v>
      </c>
      <c r="C520" s="2">
        <v>0</v>
      </c>
      <c r="D520" s="2"/>
      <c r="E520" s="2">
        <v>103.1</v>
      </c>
      <c r="F520" s="2"/>
      <c r="G520" s="2">
        <v>600</v>
      </c>
      <c r="H520" s="2"/>
      <c r="I520" s="2"/>
      <c r="J520" s="3">
        <f>IF(A520="Upgrade",IF(OR(H520=4,H520=5),VLOOKUP(I520,'Renewal Rates'!$A$22:$B$27,2,FALSE),2.7%),IF(A520="Renewal",100%,0%))</f>
        <v>0</v>
      </c>
      <c r="K520" s="7" t="s">
        <v>29</v>
      </c>
      <c r="L520" s="2">
        <v>377</v>
      </c>
      <c r="M520" s="2" t="s">
        <v>23</v>
      </c>
      <c r="N520" s="2" t="s">
        <v>24</v>
      </c>
      <c r="O520" s="4">
        <v>293655</v>
      </c>
      <c r="P520" s="4">
        <v>2848</v>
      </c>
      <c r="Q520" s="4">
        <v>116417</v>
      </c>
      <c r="R520" s="4">
        <v>458819</v>
      </c>
      <c r="S520" s="5">
        <v>0.4</v>
      </c>
      <c r="T520" s="4">
        <v>183528</v>
      </c>
      <c r="U520" s="4">
        <v>642347</v>
      </c>
      <c r="V520" s="6">
        <f t="shared" si="16"/>
        <v>0</v>
      </c>
      <c r="W520" s="6">
        <f t="shared" si="17"/>
        <v>642347</v>
      </c>
    </row>
    <row r="521" spans="1:23" x14ac:dyDescent="0.3">
      <c r="A521" s="2" t="s">
        <v>25</v>
      </c>
      <c r="B521" s="2">
        <v>10.004</v>
      </c>
      <c r="C521" s="2">
        <v>0</v>
      </c>
      <c r="D521" s="2"/>
      <c r="E521" s="2">
        <v>243.9</v>
      </c>
      <c r="F521" s="2"/>
      <c r="G521" s="2">
        <v>675</v>
      </c>
      <c r="H521" s="2"/>
      <c r="I521" s="2"/>
      <c r="J521" s="3">
        <f>IF(A521="Upgrade",IF(OR(H521=4,H521=5),VLOOKUP(I521,'Renewal Rates'!$A$22:$B$27,2,FALSE),2.7%),IF(A521="Renewal",100%,0%))</f>
        <v>0</v>
      </c>
      <c r="K521" s="7" t="s">
        <v>29</v>
      </c>
      <c r="L521" s="2">
        <v>377</v>
      </c>
      <c r="M521" s="2" t="s">
        <v>23</v>
      </c>
      <c r="N521" s="2" t="s">
        <v>24</v>
      </c>
      <c r="O521" s="4">
        <v>723686</v>
      </c>
      <c r="P521" s="4">
        <v>2968</v>
      </c>
      <c r="Q521" s="4">
        <v>302156</v>
      </c>
      <c r="R521" s="4">
        <v>1190849</v>
      </c>
      <c r="S521" s="5">
        <v>0.4</v>
      </c>
      <c r="T521" s="4">
        <v>476340</v>
      </c>
      <c r="U521" s="4">
        <v>1667188</v>
      </c>
      <c r="V521" s="6">
        <f t="shared" si="16"/>
        <v>0</v>
      </c>
      <c r="W521" s="6">
        <f t="shared" si="17"/>
        <v>1667188</v>
      </c>
    </row>
    <row r="522" spans="1:23" x14ac:dyDescent="0.3">
      <c r="A522" s="2" t="s">
        <v>25</v>
      </c>
      <c r="B522" s="2">
        <v>15.006</v>
      </c>
      <c r="C522" s="2"/>
      <c r="D522" s="2"/>
      <c r="E522" s="2">
        <v>25</v>
      </c>
      <c r="F522" s="2"/>
      <c r="G522" s="2">
        <v>375</v>
      </c>
      <c r="H522" s="2"/>
      <c r="I522" s="2"/>
      <c r="J522" s="3">
        <f>IF(A522="Upgrade",IF(OR(H522=4,H522=5),VLOOKUP(I522,'Renewal Rates'!$A$22:$B$27,2,FALSE),2.7%),IF(A522="Renewal",100%,0%))</f>
        <v>0</v>
      </c>
      <c r="K522" s="2" t="s">
        <v>22</v>
      </c>
      <c r="L522" s="2">
        <v>377</v>
      </c>
      <c r="M522" s="2" t="s">
        <v>23</v>
      </c>
      <c r="N522" s="2" t="s">
        <v>24</v>
      </c>
      <c r="O522" s="4">
        <v>81782</v>
      </c>
      <c r="P522" s="4">
        <v>3270</v>
      </c>
      <c r="Q522" s="4">
        <v>27806</v>
      </c>
      <c r="R522" s="4">
        <v>109588</v>
      </c>
      <c r="S522" s="5">
        <v>0.4</v>
      </c>
      <c r="T522" s="4">
        <v>43835</v>
      </c>
      <c r="U522" s="4">
        <v>153423</v>
      </c>
      <c r="V522" s="6">
        <f t="shared" si="16"/>
        <v>0</v>
      </c>
      <c r="W522" s="6">
        <f t="shared" si="17"/>
        <v>153423</v>
      </c>
    </row>
    <row r="523" spans="1:23" x14ac:dyDescent="0.3">
      <c r="A523" s="2" t="s">
        <v>25</v>
      </c>
      <c r="B523" s="2">
        <v>15.007</v>
      </c>
      <c r="C523" s="2"/>
      <c r="D523" s="2"/>
      <c r="E523" s="2">
        <v>36.700000000000003</v>
      </c>
      <c r="F523" s="2"/>
      <c r="G523" s="2">
        <v>300</v>
      </c>
      <c r="H523" s="2"/>
      <c r="I523" s="2"/>
      <c r="J523" s="3">
        <f>IF(A523="Upgrade",IF(OR(H523=4,H523=5),VLOOKUP(I523,'Renewal Rates'!$A$22:$B$27,2,FALSE),2.7%),IF(A523="Renewal",100%,0%))</f>
        <v>0</v>
      </c>
      <c r="K523" s="2" t="s">
        <v>22</v>
      </c>
      <c r="L523" s="2">
        <v>377</v>
      </c>
      <c r="M523" s="2" t="s">
        <v>23</v>
      </c>
      <c r="N523" s="2" t="s">
        <v>24</v>
      </c>
      <c r="O523" s="4">
        <v>69651</v>
      </c>
      <c r="P523" s="4">
        <v>1898</v>
      </c>
      <c r="Q523" s="4">
        <v>23681</v>
      </c>
      <c r="R523" s="4">
        <v>93332</v>
      </c>
      <c r="S523" s="5">
        <v>0.4</v>
      </c>
      <c r="T523" s="4">
        <v>37333</v>
      </c>
      <c r="U523" s="4">
        <v>130665</v>
      </c>
      <c r="V523" s="6">
        <f t="shared" si="16"/>
        <v>0</v>
      </c>
      <c r="W523" s="6">
        <f t="shared" si="17"/>
        <v>130665</v>
      </c>
    </row>
    <row r="524" spans="1:23" x14ac:dyDescent="0.3">
      <c r="A524" s="2" t="s">
        <v>25</v>
      </c>
      <c r="B524" s="2">
        <v>15.005000000000001</v>
      </c>
      <c r="C524" s="2"/>
      <c r="D524" s="2"/>
      <c r="E524" s="2">
        <v>94.1</v>
      </c>
      <c r="F524" s="2"/>
      <c r="G524" s="2">
        <v>375</v>
      </c>
      <c r="H524" s="2"/>
      <c r="I524" s="2"/>
      <c r="J524" s="3">
        <f>IF(A524="Upgrade",IF(OR(H524=4,H524=5),VLOOKUP(I524,'Renewal Rates'!$A$22:$B$27,2,FALSE),2.7%),IF(A524="Renewal",100%,0%))</f>
        <v>0</v>
      </c>
      <c r="K524" s="2" t="s">
        <v>22</v>
      </c>
      <c r="L524" s="2">
        <v>377</v>
      </c>
      <c r="M524" s="2" t="s">
        <v>23</v>
      </c>
      <c r="N524" s="2" t="s">
        <v>24</v>
      </c>
      <c r="O524" s="4">
        <v>201481</v>
      </c>
      <c r="P524" s="4">
        <v>2140</v>
      </c>
      <c r="Q524" s="4">
        <v>68504</v>
      </c>
      <c r="R524" s="4">
        <v>269985</v>
      </c>
      <c r="S524" s="5">
        <v>0.4</v>
      </c>
      <c r="T524" s="4">
        <v>107994</v>
      </c>
      <c r="U524" s="4">
        <v>377979</v>
      </c>
      <c r="V524" s="6">
        <f t="shared" si="16"/>
        <v>0</v>
      </c>
      <c r="W524" s="6">
        <f t="shared" si="17"/>
        <v>377979</v>
      </c>
    </row>
    <row r="525" spans="1:23" x14ac:dyDescent="0.3">
      <c r="A525" s="2" t="s">
        <v>21</v>
      </c>
      <c r="B525" s="2">
        <v>15.016999999999999</v>
      </c>
      <c r="C525" s="2">
        <v>2000904959</v>
      </c>
      <c r="D525" s="2">
        <v>65</v>
      </c>
      <c r="E525" s="2"/>
      <c r="F525" s="2">
        <v>600</v>
      </c>
      <c r="G525" s="2">
        <v>750</v>
      </c>
      <c r="H525" s="2"/>
      <c r="I525" s="2"/>
      <c r="J525" s="3">
        <f>IF(A525="Upgrade",IF(OR(H525=4,H525=5),VLOOKUP(I525,'Renewal Rates'!$A$22:$B$27,2,FALSE),2.7%),IF(A525="Renewal",100%,0%))</f>
        <v>2.7000000000000003E-2</v>
      </c>
      <c r="K525" s="2" t="s">
        <v>22</v>
      </c>
      <c r="L525" s="2">
        <v>377</v>
      </c>
      <c r="M525" s="2" t="s">
        <v>23</v>
      </c>
      <c r="N525" s="2" t="s">
        <v>24</v>
      </c>
      <c r="O525" s="4">
        <v>302438</v>
      </c>
      <c r="P525" s="4">
        <v>4653</v>
      </c>
      <c r="Q525" s="4">
        <v>102829</v>
      </c>
      <c r="R525" s="4">
        <v>405267</v>
      </c>
      <c r="S525" s="5">
        <v>0.4</v>
      </c>
      <c r="T525" s="4">
        <v>162107</v>
      </c>
      <c r="U525" s="4">
        <v>567374</v>
      </c>
      <c r="V525" s="6">
        <f t="shared" si="16"/>
        <v>15319.098000000002</v>
      </c>
      <c r="W525" s="6">
        <f t="shared" si="17"/>
        <v>552054.902</v>
      </c>
    </row>
    <row r="526" spans="1:23" x14ac:dyDescent="0.3">
      <c r="A526" s="2" t="s">
        <v>21</v>
      </c>
      <c r="B526" s="2">
        <v>15.016</v>
      </c>
      <c r="C526" s="2">
        <v>2000307581</v>
      </c>
      <c r="D526" s="2">
        <v>28.2</v>
      </c>
      <c r="E526" s="2"/>
      <c r="F526" s="2">
        <v>450</v>
      </c>
      <c r="G526" s="2">
        <v>600</v>
      </c>
      <c r="H526" s="2"/>
      <c r="I526" s="2"/>
      <c r="J526" s="3">
        <f>IF(A526="Upgrade",IF(OR(H526=4,H526=5),VLOOKUP(I526,'Renewal Rates'!$A$22:$B$27,2,FALSE),2.7%),IF(A526="Renewal",100%,0%))</f>
        <v>2.7000000000000003E-2</v>
      </c>
      <c r="K526" s="2" t="s">
        <v>22</v>
      </c>
      <c r="L526" s="2">
        <v>377</v>
      </c>
      <c r="M526" s="2" t="s">
        <v>23</v>
      </c>
      <c r="N526" s="2" t="s">
        <v>24</v>
      </c>
      <c r="O526" s="4">
        <v>111532</v>
      </c>
      <c r="P526" s="4">
        <v>3951</v>
      </c>
      <c r="Q526" s="4">
        <v>37921</v>
      </c>
      <c r="R526" s="4">
        <v>149453</v>
      </c>
      <c r="S526" s="5">
        <v>0.4</v>
      </c>
      <c r="T526" s="4">
        <v>59781</v>
      </c>
      <c r="U526" s="4">
        <v>209234</v>
      </c>
      <c r="V526" s="6">
        <f t="shared" si="16"/>
        <v>5649.3180000000002</v>
      </c>
      <c r="W526" s="6">
        <f t="shared" si="17"/>
        <v>203584.682</v>
      </c>
    </row>
    <row r="527" spans="1:23" x14ac:dyDescent="0.3">
      <c r="A527" s="2" t="s">
        <v>21</v>
      </c>
      <c r="B527" s="2">
        <v>15.016</v>
      </c>
      <c r="C527" s="2">
        <v>2000932726</v>
      </c>
      <c r="D527" s="2">
        <v>50.3</v>
      </c>
      <c r="E527" s="2"/>
      <c r="F527" s="2">
        <v>375</v>
      </c>
      <c r="G527" s="2">
        <v>600</v>
      </c>
      <c r="H527" s="2"/>
      <c r="I527" s="2"/>
      <c r="J527" s="3">
        <f>IF(A527="Upgrade",IF(OR(H527=4,H527=5),VLOOKUP(I527,'Renewal Rates'!$A$22:$B$27,2,FALSE),2.7%),IF(A527="Renewal",100%,0%))</f>
        <v>2.7000000000000003E-2</v>
      </c>
      <c r="K527" s="2" t="s">
        <v>22</v>
      </c>
      <c r="L527" s="2">
        <v>377</v>
      </c>
      <c r="M527" s="2" t="s">
        <v>23</v>
      </c>
      <c r="N527" s="2" t="s">
        <v>24</v>
      </c>
      <c r="O527" s="4">
        <v>191687</v>
      </c>
      <c r="P527" s="4">
        <v>3807</v>
      </c>
      <c r="Q527" s="4">
        <v>65174</v>
      </c>
      <c r="R527" s="4">
        <v>256861</v>
      </c>
      <c r="S527" s="5">
        <v>0.4</v>
      </c>
      <c r="T527" s="4">
        <v>102744</v>
      </c>
      <c r="U527" s="4">
        <v>359606</v>
      </c>
      <c r="V527" s="6">
        <f t="shared" si="16"/>
        <v>9709.362000000001</v>
      </c>
      <c r="W527" s="6">
        <f t="shared" si="17"/>
        <v>349896.63799999998</v>
      </c>
    </row>
    <row r="528" spans="1:23" x14ac:dyDescent="0.3">
      <c r="A528" s="2" t="s">
        <v>21</v>
      </c>
      <c r="B528" s="2">
        <v>15.015000000000001</v>
      </c>
      <c r="C528" s="2">
        <v>2000248579</v>
      </c>
      <c r="D528" s="2">
        <v>21</v>
      </c>
      <c r="E528" s="2"/>
      <c r="F528" s="2">
        <v>300</v>
      </c>
      <c r="G528" s="2">
        <v>525</v>
      </c>
      <c r="H528" s="2"/>
      <c r="I528" s="2"/>
      <c r="J528" s="3">
        <f>IF(A528="Upgrade",IF(OR(H528=4,H528=5),VLOOKUP(I528,'Renewal Rates'!$A$22:$B$27,2,FALSE),2.7%),IF(A528="Renewal",100%,0%))</f>
        <v>2.7000000000000003E-2</v>
      </c>
      <c r="K528" s="2" t="s">
        <v>22</v>
      </c>
      <c r="L528" s="2">
        <v>377</v>
      </c>
      <c r="M528" s="2" t="s">
        <v>23</v>
      </c>
      <c r="N528" s="2" t="s">
        <v>24</v>
      </c>
      <c r="O528" s="4">
        <v>81684</v>
      </c>
      <c r="P528" s="4">
        <v>3892</v>
      </c>
      <c r="Q528" s="4">
        <v>27772</v>
      </c>
      <c r="R528" s="4">
        <v>109456</v>
      </c>
      <c r="S528" s="5">
        <v>0.4</v>
      </c>
      <c r="T528" s="4">
        <v>43782</v>
      </c>
      <c r="U528" s="4">
        <v>153238</v>
      </c>
      <c r="V528" s="6">
        <f t="shared" si="16"/>
        <v>4137.4260000000004</v>
      </c>
      <c r="W528" s="6">
        <f t="shared" si="17"/>
        <v>149100.57399999999</v>
      </c>
    </row>
    <row r="529" spans="1:23" x14ac:dyDescent="0.3">
      <c r="A529" s="2" t="s">
        <v>21</v>
      </c>
      <c r="B529" s="2">
        <v>15.007999999999999</v>
      </c>
      <c r="C529" s="2">
        <v>3000176317</v>
      </c>
      <c r="D529" s="2">
        <v>19.3</v>
      </c>
      <c r="E529" s="2"/>
      <c r="F529" s="2">
        <v>300</v>
      </c>
      <c r="G529" s="2">
        <v>375</v>
      </c>
      <c r="H529" s="2">
        <v>4</v>
      </c>
      <c r="I529" s="2">
        <v>1</v>
      </c>
      <c r="J529" s="3">
        <f>IF(A529="Upgrade",IF(OR(H529=4,H529=5),VLOOKUP(I529,'Renewal Rates'!$A$22:$B$27,2,FALSE),2.7%),IF(A529="Renewal",100%,0%))</f>
        <v>0</v>
      </c>
      <c r="K529" s="2" t="s">
        <v>22</v>
      </c>
      <c r="L529" s="2">
        <v>377</v>
      </c>
      <c r="M529" s="2" t="s">
        <v>23</v>
      </c>
      <c r="N529" s="2" t="s">
        <v>24</v>
      </c>
      <c r="O529" s="4">
        <v>78595</v>
      </c>
      <c r="P529" s="4">
        <v>4082</v>
      </c>
      <c r="Q529" s="4">
        <v>26722</v>
      </c>
      <c r="R529" s="4">
        <v>105317</v>
      </c>
      <c r="S529" s="5">
        <v>0.4</v>
      </c>
      <c r="T529" s="4">
        <v>42127</v>
      </c>
      <c r="U529" s="4">
        <v>147444</v>
      </c>
      <c r="V529" s="6">
        <f t="shared" si="16"/>
        <v>0</v>
      </c>
      <c r="W529" s="6">
        <f t="shared" si="17"/>
        <v>147444</v>
      </c>
    </row>
    <row r="530" spans="1:23" x14ac:dyDescent="0.3">
      <c r="A530" s="2" t="s">
        <v>21</v>
      </c>
      <c r="B530" s="2">
        <v>15.007999999999999</v>
      </c>
      <c r="C530" s="2">
        <v>2000521461</v>
      </c>
      <c r="D530" s="2">
        <v>6.7</v>
      </c>
      <c r="E530" s="2"/>
      <c r="F530" s="2">
        <v>300</v>
      </c>
      <c r="G530" s="2">
        <v>375</v>
      </c>
      <c r="H530" s="2">
        <v>4</v>
      </c>
      <c r="I530" s="2">
        <v>1</v>
      </c>
      <c r="J530" s="3">
        <f>IF(A530="Upgrade",IF(OR(H530=4,H530=5),VLOOKUP(I530,'Renewal Rates'!$A$22:$B$27,2,FALSE),2.7%),IF(A530="Renewal",100%,0%))</f>
        <v>0</v>
      </c>
      <c r="K530" s="2" t="s">
        <v>22</v>
      </c>
      <c r="L530" s="2">
        <v>377</v>
      </c>
      <c r="M530" s="2" t="s">
        <v>23</v>
      </c>
      <c r="N530" s="2" t="s">
        <v>24</v>
      </c>
      <c r="O530" s="4">
        <v>42185</v>
      </c>
      <c r="P530" s="4">
        <v>6319</v>
      </c>
      <c r="Q530" s="4">
        <v>14343</v>
      </c>
      <c r="R530" s="4">
        <v>56528</v>
      </c>
      <c r="S530" s="5">
        <v>0.4</v>
      </c>
      <c r="T530" s="4">
        <v>22611</v>
      </c>
      <c r="U530" s="4">
        <v>79139</v>
      </c>
      <c r="V530" s="6">
        <f t="shared" si="16"/>
        <v>0</v>
      </c>
      <c r="W530" s="6">
        <f t="shared" si="17"/>
        <v>79139</v>
      </c>
    </row>
    <row r="531" spans="1:23" x14ac:dyDescent="0.3">
      <c r="A531" s="2" t="s">
        <v>21</v>
      </c>
      <c r="B531" s="2">
        <v>15.007999999999999</v>
      </c>
      <c r="C531" s="2">
        <v>2000474102</v>
      </c>
      <c r="D531" s="2">
        <v>49.7</v>
      </c>
      <c r="E531" s="2"/>
      <c r="F531" s="2">
        <v>300</v>
      </c>
      <c r="G531" s="2">
        <v>375</v>
      </c>
      <c r="H531" s="2"/>
      <c r="I531" s="2"/>
      <c r="J531" s="3">
        <f>IF(A531="Upgrade",IF(OR(H531=4,H531=5),VLOOKUP(I531,'Renewal Rates'!$A$22:$B$27,2,FALSE),2.7%),IF(A531="Renewal",100%,0%))</f>
        <v>2.7000000000000003E-2</v>
      </c>
      <c r="K531" s="2" t="s">
        <v>22</v>
      </c>
      <c r="L531" s="2">
        <v>377</v>
      </c>
      <c r="M531" s="2" t="s">
        <v>23</v>
      </c>
      <c r="N531" s="2" t="s">
        <v>24</v>
      </c>
      <c r="O531" s="4">
        <v>114577</v>
      </c>
      <c r="P531" s="4">
        <v>2304</v>
      </c>
      <c r="Q531" s="4">
        <v>38956</v>
      </c>
      <c r="R531" s="4">
        <v>153533</v>
      </c>
      <c r="S531" s="5">
        <v>0.4</v>
      </c>
      <c r="T531" s="4">
        <v>61413</v>
      </c>
      <c r="U531" s="4">
        <v>214946</v>
      </c>
      <c r="V531" s="6">
        <f t="shared" si="16"/>
        <v>5803.5420000000004</v>
      </c>
      <c r="W531" s="6">
        <f t="shared" si="17"/>
        <v>209142.45800000001</v>
      </c>
    </row>
    <row r="532" spans="1:23" x14ac:dyDescent="0.3">
      <c r="A532" s="2" t="s">
        <v>25</v>
      </c>
      <c r="B532" s="2">
        <v>16.004000000000001</v>
      </c>
      <c r="C532" s="2"/>
      <c r="D532" s="2"/>
      <c r="E532" s="2">
        <v>99.6</v>
      </c>
      <c r="F532" s="2"/>
      <c r="G532" s="2">
        <v>450</v>
      </c>
      <c r="H532" s="2"/>
      <c r="I532" s="2"/>
      <c r="J532" s="3">
        <f>IF(A532="Upgrade",IF(OR(H532=4,H532=5),VLOOKUP(I532,'Renewal Rates'!$A$22:$B$27,2,FALSE),2.7%),IF(A532="Renewal",100%,0%))</f>
        <v>0</v>
      </c>
      <c r="K532" s="2" t="s">
        <v>22</v>
      </c>
      <c r="L532" s="2">
        <v>376</v>
      </c>
      <c r="M532" s="2" t="s">
        <v>23</v>
      </c>
      <c r="N532" s="2" t="s">
        <v>24</v>
      </c>
      <c r="O532" s="4">
        <v>267741</v>
      </c>
      <c r="P532" s="4">
        <v>2687</v>
      </c>
      <c r="Q532" s="4">
        <v>91032</v>
      </c>
      <c r="R532" s="4">
        <v>358773</v>
      </c>
      <c r="S532" s="5">
        <v>0.4</v>
      </c>
      <c r="T532" s="4">
        <v>143509</v>
      </c>
      <c r="U532" s="4">
        <v>502282</v>
      </c>
      <c r="V532" s="6">
        <f t="shared" si="16"/>
        <v>0</v>
      </c>
      <c r="W532" s="6">
        <f t="shared" si="17"/>
        <v>502282</v>
      </c>
    </row>
    <row r="533" spans="1:23" x14ac:dyDescent="0.3">
      <c r="A533" s="2" t="s">
        <v>25</v>
      </c>
      <c r="B533" s="2">
        <v>16.006</v>
      </c>
      <c r="C533" s="2"/>
      <c r="D533" s="2"/>
      <c r="E533" s="2">
        <v>31.8</v>
      </c>
      <c r="F533" s="2"/>
      <c r="G533" s="2">
        <v>300</v>
      </c>
      <c r="H533" s="2"/>
      <c r="I533" s="2"/>
      <c r="J533" s="3">
        <f>IF(A533="Upgrade",IF(OR(H533=4,H533=5),VLOOKUP(I533,'Renewal Rates'!$A$22:$B$27,2,FALSE),2.7%),IF(A533="Renewal",100%,0%))</f>
        <v>0</v>
      </c>
      <c r="K533" s="2" t="s">
        <v>22</v>
      </c>
      <c r="L533" s="2">
        <v>376</v>
      </c>
      <c r="M533" s="2" t="s">
        <v>23</v>
      </c>
      <c r="N533" s="2" t="s">
        <v>24</v>
      </c>
      <c r="O533" s="4">
        <v>80961</v>
      </c>
      <c r="P533" s="4">
        <v>2549</v>
      </c>
      <c r="Q533" s="4">
        <v>27527</v>
      </c>
      <c r="R533" s="4">
        <v>108488</v>
      </c>
      <c r="S533" s="5">
        <v>0.4</v>
      </c>
      <c r="T533" s="4">
        <v>43395</v>
      </c>
      <c r="U533" s="4">
        <v>151883</v>
      </c>
      <c r="V533" s="6">
        <f t="shared" si="16"/>
        <v>0</v>
      </c>
      <c r="W533" s="6">
        <f t="shared" si="17"/>
        <v>151883</v>
      </c>
    </row>
    <row r="534" spans="1:23" x14ac:dyDescent="0.3">
      <c r="A534" s="2" t="s">
        <v>21</v>
      </c>
      <c r="B534" s="2">
        <v>16.013999999999999</v>
      </c>
      <c r="C534" s="2">
        <v>2000790531</v>
      </c>
      <c r="D534" s="2">
        <v>20.7</v>
      </c>
      <c r="E534" s="2"/>
      <c r="F534" s="2">
        <v>300</v>
      </c>
      <c r="G534" s="2">
        <v>750</v>
      </c>
      <c r="H534" s="2"/>
      <c r="I534" s="2"/>
      <c r="J534" s="3">
        <f>IF(A534="Upgrade",IF(OR(H534=4,H534=5),VLOOKUP(I534,'Renewal Rates'!$A$22:$B$27,2,FALSE),2.7%),IF(A534="Renewal",100%,0%))</f>
        <v>2.7000000000000003E-2</v>
      </c>
      <c r="K534" s="2" t="s">
        <v>22</v>
      </c>
      <c r="L534" s="2">
        <v>376</v>
      </c>
      <c r="M534" s="2" t="s">
        <v>23</v>
      </c>
      <c r="N534" s="2" t="s">
        <v>24</v>
      </c>
      <c r="O534" s="4">
        <v>139909</v>
      </c>
      <c r="P534" s="4">
        <v>6773</v>
      </c>
      <c r="Q534" s="4">
        <v>47569</v>
      </c>
      <c r="R534" s="4">
        <v>187478</v>
      </c>
      <c r="S534" s="5">
        <v>0.4</v>
      </c>
      <c r="T534" s="4">
        <v>74991</v>
      </c>
      <c r="U534" s="4">
        <v>262469</v>
      </c>
      <c r="V534" s="6">
        <f t="shared" si="16"/>
        <v>7086.6630000000005</v>
      </c>
      <c r="W534" s="6">
        <f t="shared" si="17"/>
        <v>255382.337</v>
      </c>
    </row>
    <row r="535" spans="1:23" x14ac:dyDescent="0.3">
      <c r="A535" s="2" t="s">
        <v>21</v>
      </c>
      <c r="B535" s="2">
        <v>16.013999999999999</v>
      </c>
      <c r="C535" s="2">
        <v>3000042696</v>
      </c>
      <c r="D535" s="2">
        <v>44.6</v>
      </c>
      <c r="E535" s="2"/>
      <c r="F535" s="2">
        <v>300</v>
      </c>
      <c r="G535" s="2">
        <v>750</v>
      </c>
      <c r="H535" s="2">
        <v>4</v>
      </c>
      <c r="I535" s="2">
        <v>3</v>
      </c>
      <c r="J535" s="3">
        <f>IF(A535="Upgrade",IF(OR(H535=4,H535=5),VLOOKUP(I535,'Renewal Rates'!$A$22:$B$27,2,FALSE),2.7%),IF(A535="Renewal",100%,0%))</f>
        <v>0.21</v>
      </c>
      <c r="K535" s="2" t="s">
        <v>22</v>
      </c>
      <c r="L535" s="2">
        <v>376</v>
      </c>
      <c r="M535" s="2" t="s">
        <v>23</v>
      </c>
      <c r="N535" s="2" t="s">
        <v>24</v>
      </c>
      <c r="O535" s="4">
        <v>187948</v>
      </c>
      <c r="P535" s="4">
        <v>4214</v>
      </c>
      <c r="Q535" s="4">
        <v>63902</v>
      </c>
      <c r="R535" s="4">
        <v>251850</v>
      </c>
      <c r="S535" s="5">
        <v>0.4</v>
      </c>
      <c r="T535" s="4">
        <v>100740</v>
      </c>
      <c r="U535" s="4">
        <v>352590</v>
      </c>
      <c r="V535" s="6">
        <f t="shared" si="16"/>
        <v>74043.899999999994</v>
      </c>
      <c r="W535" s="6">
        <f t="shared" si="17"/>
        <v>278546.09999999998</v>
      </c>
    </row>
    <row r="536" spans="1:23" x14ac:dyDescent="0.3">
      <c r="A536" s="2" t="s">
        <v>21</v>
      </c>
      <c r="B536" s="2">
        <v>16.015000000000001</v>
      </c>
      <c r="C536" s="2">
        <v>3000042697</v>
      </c>
      <c r="D536" s="2">
        <v>5.0999999999999996</v>
      </c>
      <c r="E536" s="2"/>
      <c r="F536" s="2">
        <v>225</v>
      </c>
      <c r="G536" s="2">
        <v>675</v>
      </c>
      <c r="H536" s="2"/>
      <c r="I536" s="2"/>
      <c r="J536" s="3">
        <f>IF(A536="Upgrade",IF(OR(H536=4,H536=5),VLOOKUP(I536,'Renewal Rates'!$A$22:$B$27,2,FALSE),2.7%),IF(A536="Renewal",100%,0%))</f>
        <v>2.7000000000000003E-2</v>
      </c>
      <c r="K536" s="2" t="s">
        <v>22</v>
      </c>
      <c r="L536" s="2">
        <v>376</v>
      </c>
      <c r="M536" s="2" t="s">
        <v>23</v>
      </c>
      <c r="N536" s="2" t="s">
        <v>24</v>
      </c>
      <c r="O536" s="4">
        <v>56152</v>
      </c>
      <c r="P536" s="4">
        <v>10943</v>
      </c>
      <c r="Q536" s="4">
        <v>19092</v>
      </c>
      <c r="R536" s="4">
        <v>75244</v>
      </c>
      <c r="S536" s="5">
        <v>0.4</v>
      </c>
      <c r="T536" s="4">
        <v>30098</v>
      </c>
      <c r="U536" s="4">
        <v>105342</v>
      </c>
      <c r="V536" s="6">
        <f t="shared" si="16"/>
        <v>2844.2340000000004</v>
      </c>
      <c r="W536" s="6">
        <f t="shared" si="17"/>
        <v>102497.766</v>
      </c>
    </row>
    <row r="537" spans="1:23" x14ac:dyDescent="0.3">
      <c r="A537" s="2" t="s">
        <v>21</v>
      </c>
      <c r="B537" s="2">
        <v>16.015000000000001</v>
      </c>
      <c r="C537" s="2">
        <v>2000692068</v>
      </c>
      <c r="D537" s="2">
        <v>2.4</v>
      </c>
      <c r="E537" s="2"/>
      <c r="F537" s="2">
        <v>225</v>
      </c>
      <c r="G537" s="2">
        <v>675</v>
      </c>
      <c r="H537" s="2"/>
      <c r="I537" s="2"/>
      <c r="J537" s="3">
        <f>IF(A537="Upgrade",IF(OR(H537=4,H537=5),VLOOKUP(I537,'Renewal Rates'!$A$22:$B$27,2,FALSE),2.7%),IF(A537="Renewal",100%,0%))</f>
        <v>2.7000000000000003E-2</v>
      </c>
      <c r="K537" s="2" t="s">
        <v>22</v>
      </c>
      <c r="L537" s="2">
        <v>376</v>
      </c>
      <c r="M537" s="2" t="s">
        <v>23</v>
      </c>
      <c r="N537" s="2" t="s">
        <v>24</v>
      </c>
      <c r="O537" s="4">
        <v>52909</v>
      </c>
      <c r="P537" s="4">
        <v>21862</v>
      </c>
      <c r="Q537" s="4">
        <v>17989</v>
      </c>
      <c r="R537" s="4">
        <v>70898</v>
      </c>
      <c r="S537" s="5">
        <v>0.4</v>
      </c>
      <c r="T537" s="4">
        <v>28359</v>
      </c>
      <c r="U537" s="4">
        <v>99257</v>
      </c>
      <c r="V537" s="6">
        <f t="shared" si="16"/>
        <v>2679.9390000000003</v>
      </c>
      <c r="W537" s="6">
        <f t="shared" si="17"/>
        <v>96577.061000000002</v>
      </c>
    </row>
    <row r="538" spans="1:23" x14ac:dyDescent="0.3">
      <c r="A538" s="2" t="s">
        <v>21</v>
      </c>
      <c r="B538" s="2">
        <v>16.015000000000001</v>
      </c>
      <c r="C538" s="2">
        <v>2000398311</v>
      </c>
      <c r="D538" s="2">
        <v>7.8</v>
      </c>
      <c r="E538" s="2"/>
      <c r="F538" s="2">
        <v>300</v>
      </c>
      <c r="G538" s="2">
        <v>675</v>
      </c>
      <c r="H538" s="2"/>
      <c r="I538" s="2"/>
      <c r="J538" s="3">
        <f>IF(A538="Upgrade",IF(OR(H538=4,H538=5),VLOOKUP(I538,'Renewal Rates'!$A$22:$B$27,2,FALSE),2.7%),IF(A538="Renewal",100%,0%))</f>
        <v>2.7000000000000003E-2</v>
      </c>
      <c r="K538" s="2" t="s">
        <v>22</v>
      </c>
      <c r="L538" s="2">
        <v>376</v>
      </c>
      <c r="M538" s="2" t="s">
        <v>23</v>
      </c>
      <c r="N538" s="2" t="s">
        <v>24</v>
      </c>
      <c r="O538" s="4">
        <v>59289</v>
      </c>
      <c r="P538" s="4">
        <v>7647</v>
      </c>
      <c r="Q538" s="4">
        <v>20158</v>
      </c>
      <c r="R538" s="4">
        <v>79447</v>
      </c>
      <c r="S538" s="5">
        <v>0.4</v>
      </c>
      <c r="T538" s="4">
        <v>31779</v>
      </c>
      <c r="U538" s="4">
        <v>111226</v>
      </c>
      <c r="V538" s="6">
        <f t="shared" si="16"/>
        <v>3003.1020000000003</v>
      </c>
      <c r="W538" s="6">
        <f t="shared" si="17"/>
        <v>108222.898</v>
      </c>
    </row>
    <row r="539" spans="1:23" x14ac:dyDescent="0.3">
      <c r="A539" s="2" t="s">
        <v>21</v>
      </c>
      <c r="B539" s="2">
        <v>16.015000000000001</v>
      </c>
      <c r="C539" s="2">
        <v>3000019770</v>
      </c>
      <c r="D539" s="2">
        <v>48.7</v>
      </c>
      <c r="E539" s="2"/>
      <c r="F539" s="2">
        <v>225</v>
      </c>
      <c r="G539" s="2">
        <v>675</v>
      </c>
      <c r="H539" s="2"/>
      <c r="I539" s="2"/>
      <c r="J539" s="3">
        <f>IF(A539="Upgrade",IF(OR(H539=4,H539=5),VLOOKUP(I539,'Renewal Rates'!$A$22:$B$27,2,FALSE),2.7%),IF(A539="Renewal",100%,0%))</f>
        <v>2.7000000000000003E-2</v>
      </c>
      <c r="K539" s="2" t="s">
        <v>22</v>
      </c>
      <c r="L539" s="2">
        <v>376</v>
      </c>
      <c r="M539" s="2" t="s">
        <v>23</v>
      </c>
      <c r="N539" s="2" t="s">
        <v>24</v>
      </c>
      <c r="O539" s="4">
        <v>186054</v>
      </c>
      <c r="P539" s="4">
        <v>3819</v>
      </c>
      <c r="Q539" s="4">
        <v>63259</v>
      </c>
      <c r="R539" s="4">
        <v>249313</v>
      </c>
      <c r="S539" s="5">
        <v>0.4</v>
      </c>
      <c r="T539" s="4">
        <v>99725</v>
      </c>
      <c r="U539" s="4">
        <v>349038</v>
      </c>
      <c r="V539" s="6">
        <f t="shared" si="16"/>
        <v>9424.0260000000017</v>
      </c>
      <c r="W539" s="6">
        <f t="shared" si="17"/>
        <v>339613.97399999999</v>
      </c>
    </row>
    <row r="540" spans="1:23" x14ac:dyDescent="0.3">
      <c r="A540" s="2" t="s">
        <v>21</v>
      </c>
      <c r="B540" s="2">
        <v>16.015000000000001</v>
      </c>
      <c r="C540" s="2">
        <v>3000019769</v>
      </c>
      <c r="D540" s="2">
        <v>12.3</v>
      </c>
      <c r="E540" s="2"/>
      <c r="F540" s="2">
        <v>225</v>
      </c>
      <c r="G540" s="2">
        <v>675</v>
      </c>
      <c r="H540" s="2"/>
      <c r="I540" s="2"/>
      <c r="J540" s="3">
        <f>IF(A540="Upgrade",IF(OR(H540=4,H540=5),VLOOKUP(I540,'Renewal Rates'!$A$22:$B$27,2,FALSE),2.7%),IF(A540="Renewal",100%,0%))</f>
        <v>2.7000000000000003E-2</v>
      </c>
      <c r="K540" s="2" t="s">
        <v>22</v>
      </c>
      <c r="L540" s="2">
        <v>376</v>
      </c>
      <c r="M540" s="2" t="s">
        <v>23</v>
      </c>
      <c r="N540" s="2" t="s">
        <v>24</v>
      </c>
      <c r="O540" s="4">
        <v>84188</v>
      </c>
      <c r="P540" s="4">
        <v>6835</v>
      </c>
      <c r="Q540" s="4">
        <v>28624</v>
      </c>
      <c r="R540" s="4">
        <v>112812</v>
      </c>
      <c r="S540" s="5">
        <v>0.4</v>
      </c>
      <c r="T540" s="4">
        <v>45125</v>
      </c>
      <c r="U540" s="4">
        <v>157937</v>
      </c>
      <c r="V540" s="6">
        <f t="shared" si="16"/>
        <v>4264.2990000000009</v>
      </c>
      <c r="W540" s="6">
        <f t="shared" si="17"/>
        <v>153672.701</v>
      </c>
    </row>
    <row r="541" spans="1:23" x14ac:dyDescent="0.3">
      <c r="A541" s="2" t="s">
        <v>25</v>
      </c>
      <c r="B541" s="2">
        <v>16.004999999999999</v>
      </c>
      <c r="C541" s="2"/>
      <c r="D541" s="2"/>
      <c r="E541" s="2">
        <v>198.7</v>
      </c>
      <c r="F541" s="2"/>
      <c r="G541" s="2">
        <v>600</v>
      </c>
      <c r="H541" s="2"/>
      <c r="I541" s="2"/>
      <c r="J541" s="3">
        <f>IF(A541="Upgrade",IF(OR(H541=4,H541=5),VLOOKUP(I541,'Renewal Rates'!$A$22:$B$27,2,FALSE),2.7%),IF(A541="Renewal",100%,0%))</f>
        <v>0</v>
      </c>
      <c r="K541" s="2" t="s">
        <v>22</v>
      </c>
      <c r="L541" s="2">
        <v>376</v>
      </c>
      <c r="M541" s="2" t="s">
        <v>23</v>
      </c>
      <c r="N541" s="2" t="s">
        <v>24</v>
      </c>
      <c r="O541" s="4">
        <v>634629</v>
      </c>
      <c r="P541" s="4">
        <v>3194</v>
      </c>
      <c r="Q541" s="4">
        <v>215774</v>
      </c>
      <c r="R541" s="4">
        <v>850403</v>
      </c>
      <c r="S541" s="5">
        <v>0.4</v>
      </c>
      <c r="T541" s="4">
        <v>340161</v>
      </c>
      <c r="U541" s="4">
        <v>1190564</v>
      </c>
      <c r="V541" s="6">
        <f t="shared" si="16"/>
        <v>0</v>
      </c>
      <c r="W541" s="6">
        <f t="shared" si="17"/>
        <v>1190564</v>
      </c>
    </row>
    <row r="542" spans="1:23" x14ac:dyDescent="0.3">
      <c r="A542" s="2" t="s">
        <v>21</v>
      </c>
      <c r="B542" s="2">
        <v>16.013000000000002</v>
      </c>
      <c r="C542" s="2">
        <v>2000776415</v>
      </c>
      <c r="D542" s="2">
        <v>83.1</v>
      </c>
      <c r="E542" s="2"/>
      <c r="F542" s="2">
        <v>525</v>
      </c>
      <c r="G542" s="2">
        <v>1050</v>
      </c>
      <c r="H542" s="2"/>
      <c r="I542" s="2"/>
      <c r="J542" s="3">
        <f>IF(A542="Upgrade",IF(OR(H542=4,H542=5),VLOOKUP(I542,'Renewal Rates'!$A$22:$B$27,2,FALSE),2.7%),IF(A542="Renewal",100%,0%))</f>
        <v>2.7000000000000003E-2</v>
      </c>
      <c r="K542" s="2" t="s">
        <v>22</v>
      </c>
      <c r="L542" s="2">
        <v>376</v>
      </c>
      <c r="M542" s="2" t="s">
        <v>23</v>
      </c>
      <c r="N542" s="2" t="s">
        <v>24</v>
      </c>
      <c r="O542" s="4">
        <v>584103</v>
      </c>
      <c r="P542" s="4">
        <v>7028</v>
      </c>
      <c r="Q542" s="4">
        <v>198595</v>
      </c>
      <c r="R542" s="4">
        <v>782698</v>
      </c>
      <c r="S542" s="5">
        <v>0.4</v>
      </c>
      <c r="T542" s="4">
        <v>313079</v>
      </c>
      <c r="U542" s="4">
        <v>1095777</v>
      </c>
      <c r="V542" s="6">
        <f t="shared" si="16"/>
        <v>29585.979000000003</v>
      </c>
      <c r="W542" s="6">
        <f t="shared" si="17"/>
        <v>1066191.0209999999</v>
      </c>
    </row>
    <row r="543" spans="1:23" x14ac:dyDescent="0.3">
      <c r="A543" s="2" t="s">
        <v>21</v>
      </c>
      <c r="B543" s="2">
        <v>16.012</v>
      </c>
      <c r="C543" s="2">
        <v>2000239910</v>
      </c>
      <c r="D543" s="2">
        <v>53.5</v>
      </c>
      <c r="E543" s="2"/>
      <c r="F543" s="2">
        <v>300</v>
      </c>
      <c r="G543" s="2">
        <v>600</v>
      </c>
      <c r="H543" s="2">
        <v>4</v>
      </c>
      <c r="I543" s="2">
        <v>5</v>
      </c>
      <c r="J543" s="3">
        <f>IF(A543="Upgrade",IF(OR(H543=4,H543=5),VLOOKUP(I543,'Renewal Rates'!$A$22:$B$27,2,FALSE),2.7%),IF(A543="Renewal",100%,0%))</f>
        <v>0.7</v>
      </c>
      <c r="K543" s="2" t="s">
        <v>22</v>
      </c>
      <c r="L543" s="2">
        <v>376</v>
      </c>
      <c r="M543" s="2" t="s">
        <v>23</v>
      </c>
      <c r="N543" s="2" t="s">
        <v>24</v>
      </c>
      <c r="O543" s="4">
        <v>194896</v>
      </c>
      <c r="P543" s="4">
        <v>3646</v>
      </c>
      <c r="Q543" s="4">
        <v>66265</v>
      </c>
      <c r="R543" s="4">
        <v>261161</v>
      </c>
      <c r="S543" s="5">
        <v>0.4</v>
      </c>
      <c r="T543" s="4">
        <v>104464</v>
      </c>
      <c r="U543" s="4">
        <v>365625</v>
      </c>
      <c r="V543" s="6">
        <f t="shared" si="16"/>
        <v>255937.49999999997</v>
      </c>
      <c r="W543" s="6">
        <f t="shared" si="17"/>
        <v>109687.50000000003</v>
      </c>
    </row>
    <row r="544" spans="1:23" x14ac:dyDescent="0.3">
      <c r="A544" s="2" t="s">
        <v>21</v>
      </c>
      <c r="B544" s="2">
        <v>16.012</v>
      </c>
      <c r="C544" s="2">
        <v>2000250793</v>
      </c>
      <c r="D544" s="2">
        <v>30.3</v>
      </c>
      <c r="E544" s="2"/>
      <c r="F544" s="2">
        <v>375</v>
      </c>
      <c r="G544" s="2">
        <v>600</v>
      </c>
      <c r="H544" s="2"/>
      <c r="I544" s="2"/>
      <c r="J544" s="3">
        <f>IF(A544="Upgrade",IF(OR(H544=4,H544=5),VLOOKUP(I544,'Renewal Rates'!$A$22:$B$27,2,FALSE),2.7%),IF(A544="Renewal",100%,0%))</f>
        <v>2.7000000000000003E-2</v>
      </c>
      <c r="K544" s="2" t="s">
        <v>22</v>
      </c>
      <c r="L544" s="2">
        <v>376</v>
      </c>
      <c r="M544" s="2" t="s">
        <v>23</v>
      </c>
      <c r="N544" s="2" t="s">
        <v>24</v>
      </c>
      <c r="O544" s="4">
        <v>113691</v>
      </c>
      <c r="P544" s="4">
        <v>3750</v>
      </c>
      <c r="Q544" s="4">
        <v>38655</v>
      </c>
      <c r="R544" s="4">
        <v>152346</v>
      </c>
      <c r="S544" s="5">
        <v>0.4</v>
      </c>
      <c r="T544" s="4">
        <v>60938</v>
      </c>
      <c r="U544" s="4">
        <v>213284</v>
      </c>
      <c r="V544" s="6">
        <f t="shared" si="16"/>
        <v>5758.6680000000006</v>
      </c>
      <c r="W544" s="6">
        <f t="shared" si="17"/>
        <v>207525.33199999999</v>
      </c>
    </row>
    <row r="545" spans="1:23" x14ac:dyDescent="0.3">
      <c r="A545" s="2" t="s">
        <v>21</v>
      </c>
      <c r="B545" s="2">
        <v>16.010999999999999</v>
      </c>
      <c r="C545" s="2">
        <v>3000052461</v>
      </c>
      <c r="D545" s="2">
        <v>23</v>
      </c>
      <c r="E545" s="2"/>
      <c r="F545" s="2">
        <v>150</v>
      </c>
      <c r="G545" s="2">
        <v>600</v>
      </c>
      <c r="H545" s="2"/>
      <c r="I545" s="2"/>
      <c r="J545" s="3">
        <f>IF(A545="Upgrade",IF(OR(H545=4,H545=5),VLOOKUP(I545,'Renewal Rates'!$A$22:$B$27,2,FALSE),2.7%),IF(A545="Renewal",100%,0%))</f>
        <v>2.7000000000000003E-2</v>
      </c>
      <c r="K545" s="2" t="s">
        <v>22</v>
      </c>
      <c r="L545" s="2">
        <v>376</v>
      </c>
      <c r="M545" s="2" t="s">
        <v>23</v>
      </c>
      <c r="N545" s="2" t="s">
        <v>24</v>
      </c>
      <c r="O545" s="4">
        <v>86641</v>
      </c>
      <c r="P545" s="4">
        <v>3774</v>
      </c>
      <c r="Q545" s="4">
        <v>29458</v>
      </c>
      <c r="R545" s="4">
        <v>116099</v>
      </c>
      <c r="S545" s="5">
        <v>0.4</v>
      </c>
      <c r="T545" s="4">
        <v>46439</v>
      </c>
      <c r="U545" s="4">
        <v>162538</v>
      </c>
      <c r="V545" s="6">
        <f t="shared" si="16"/>
        <v>4388.5260000000007</v>
      </c>
      <c r="W545" s="6">
        <f t="shared" si="17"/>
        <v>158149.47399999999</v>
      </c>
    </row>
    <row r="546" spans="1:23" x14ac:dyDescent="0.3">
      <c r="A546" s="2" t="s">
        <v>21</v>
      </c>
      <c r="B546" s="2">
        <v>16.010999999999999</v>
      </c>
      <c r="C546" s="2">
        <v>3000052451</v>
      </c>
      <c r="D546" s="2">
        <v>13.6</v>
      </c>
      <c r="E546" s="2"/>
      <c r="F546" s="2">
        <v>150</v>
      </c>
      <c r="G546" s="2">
        <v>600</v>
      </c>
      <c r="H546" s="2"/>
      <c r="I546" s="2"/>
      <c r="J546" s="3">
        <f>IF(A546="Upgrade",IF(OR(H546=4,H546=5),VLOOKUP(I546,'Renewal Rates'!$A$22:$B$27,2,FALSE),2.7%),IF(A546="Renewal",100%,0%))</f>
        <v>2.7000000000000003E-2</v>
      </c>
      <c r="K546" s="2" t="s">
        <v>22</v>
      </c>
      <c r="L546" s="2">
        <v>376</v>
      </c>
      <c r="M546" s="2" t="s">
        <v>23</v>
      </c>
      <c r="N546" s="2" t="s">
        <v>24</v>
      </c>
      <c r="O546" s="4">
        <v>76934</v>
      </c>
      <c r="P546" s="4">
        <v>5668</v>
      </c>
      <c r="Q546" s="4">
        <v>26158</v>
      </c>
      <c r="R546" s="4">
        <v>103092</v>
      </c>
      <c r="S546" s="5">
        <v>0.4</v>
      </c>
      <c r="T546" s="4">
        <v>41237</v>
      </c>
      <c r="U546" s="4">
        <v>144329</v>
      </c>
      <c r="V546" s="6">
        <f t="shared" si="16"/>
        <v>3896.8830000000003</v>
      </c>
      <c r="W546" s="6">
        <f t="shared" si="17"/>
        <v>140432.117</v>
      </c>
    </row>
    <row r="547" spans="1:23" x14ac:dyDescent="0.3">
      <c r="A547" s="2" t="s">
        <v>21</v>
      </c>
      <c r="B547" s="2">
        <v>16.010999999999999</v>
      </c>
      <c r="C547" s="2">
        <v>2000987080</v>
      </c>
      <c r="D547" s="2">
        <v>6.4</v>
      </c>
      <c r="E547" s="2"/>
      <c r="F547" s="2">
        <v>150</v>
      </c>
      <c r="G547" s="2">
        <v>600</v>
      </c>
      <c r="H547" s="2"/>
      <c r="I547" s="2"/>
      <c r="J547" s="3">
        <f>IF(A547="Upgrade",IF(OR(H547=4,H547=5),VLOOKUP(I547,'Renewal Rates'!$A$22:$B$27,2,FALSE),2.7%),IF(A547="Renewal",100%,0%))</f>
        <v>2.7000000000000003E-2</v>
      </c>
      <c r="K547" s="2" t="s">
        <v>22</v>
      </c>
      <c r="L547" s="2">
        <v>376</v>
      </c>
      <c r="M547" s="2" t="s">
        <v>23</v>
      </c>
      <c r="N547" s="2" t="s">
        <v>24</v>
      </c>
      <c r="O547" s="4">
        <v>50091</v>
      </c>
      <c r="P547" s="4">
        <v>7812</v>
      </c>
      <c r="Q547" s="4">
        <v>17031</v>
      </c>
      <c r="R547" s="4">
        <v>67122</v>
      </c>
      <c r="S547" s="5">
        <v>0.4</v>
      </c>
      <c r="T547" s="4">
        <v>26849</v>
      </c>
      <c r="U547" s="4">
        <v>93971</v>
      </c>
      <c r="V547" s="6">
        <f t="shared" si="16"/>
        <v>2537.2170000000001</v>
      </c>
      <c r="W547" s="6">
        <f t="shared" si="17"/>
        <v>91433.782999999996</v>
      </c>
    </row>
    <row r="548" spans="1:23" x14ac:dyDescent="0.3">
      <c r="A548" s="2" t="s">
        <v>21</v>
      </c>
      <c r="B548" s="2">
        <v>16.010999999999999</v>
      </c>
      <c r="C548" s="2">
        <v>2001002305</v>
      </c>
      <c r="D548" s="2">
        <v>18.2</v>
      </c>
      <c r="E548" s="2"/>
      <c r="F548" s="2">
        <v>150</v>
      </c>
      <c r="G548" s="2">
        <v>600</v>
      </c>
      <c r="H548" s="2"/>
      <c r="I548" s="2"/>
      <c r="J548" s="3">
        <f>IF(A548="Upgrade",IF(OR(H548=4,H548=5),VLOOKUP(I548,'Renewal Rates'!$A$22:$B$27,2,FALSE),2.7%),IF(A548="Renewal",100%,0%))</f>
        <v>2.7000000000000003E-2</v>
      </c>
      <c r="K548" s="2" t="s">
        <v>22</v>
      </c>
      <c r="L548" s="2">
        <v>376</v>
      </c>
      <c r="M548" s="2" t="s">
        <v>23</v>
      </c>
      <c r="N548" s="2" t="s">
        <v>24</v>
      </c>
      <c r="O548" s="4">
        <v>81724</v>
      </c>
      <c r="P548" s="4">
        <v>4489</v>
      </c>
      <c r="Q548" s="4">
        <v>27786</v>
      </c>
      <c r="R548" s="4">
        <v>109510</v>
      </c>
      <c r="S548" s="5">
        <v>0.4</v>
      </c>
      <c r="T548" s="4">
        <v>43804</v>
      </c>
      <c r="U548" s="4">
        <v>153313</v>
      </c>
      <c r="V548" s="6">
        <f t="shared" si="16"/>
        <v>4139.4510000000009</v>
      </c>
      <c r="W548" s="6">
        <f t="shared" si="17"/>
        <v>149173.549</v>
      </c>
    </row>
    <row r="549" spans="1:23" x14ac:dyDescent="0.3">
      <c r="A549" s="2" t="s">
        <v>21</v>
      </c>
      <c r="B549" s="2">
        <v>16.010999999999999</v>
      </c>
      <c r="C549" s="2">
        <v>2000864936</v>
      </c>
      <c r="D549" s="2">
        <v>38.700000000000003</v>
      </c>
      <c r="E549" s="2"/>
      <c r="F549" s="2">
        <v>150</v>
      </c>
      <c r="G549" s="2">
        <v>600</v>
      </c>
      <c r="H549" s="2"/>
      <c r="I549" s="2"/>
      <c r="J549" s="3">
        <f>IF(A549="Upgrade",IF(OR(H549=4,H549=5),VLOOKUP(I549,'Renewal Rates'!$A$22:$B$27,2,FALSE),2.7%),IF(A549="Renewal",100%,0%))</f>
        <v>2.7000000000000003E-2</v>
      </c>
      <c r="K549" s="2" t="s">
        <v>22</v>
      </c>
      <c r="L549" s="2">
        <v>376</v>
      </c>
      <c r="M549" s="2" t="s">
        <v>23</v>
      </c>
      <c r="N549" s="2" t="s">
        <v>24</v>
      </c>
      <c r="O549" s="4">
        <v>141816</v>
      </c>
      <c r="P549" s="4">
        <v>3663</v>
      </c>
      <c r="Q549" s="4">
        <v>48218</v>
      </c>
      <c r="R549" s="4">
        <v>190034</v>
      </c>
      <c r="S549" s="5">
        <v>0.4</v>
      </c>
      <c r="T549" s="4">
        <v>76014</v>
      </c>
      <c r="U549" s="4">
        <v>266048</v>
      </c>
      <c r="V549" s="6">
        <f t="shared" si="16"/>
        <v>7183.2960000000012</v>
      </c>
      <c r="W549" s="6">
        <f t="shared" si="17"/>
        <v>258864.704</v>
      </c>
    </row>
    <row r="550" spans="1:23" x14ac:dyDescent="0.3">
      <c r="A550" s="2" t="s">
        <v>21</v>
      </c>
      <c r="B550" s="2">
        <v>16.010999999999999</v>
      </c>
      <c r="C550" s="2">
        <v>3000155697</v>
      </c>
      <c r="D550" s="2">
        <v>15.7</v>
      </c>
      <c r="E550" s="2"/>
      <c r="F550" s="2">
        <v>180</v>
      </c>
      <c r="G550" s="2">
        <v>600</v>
      </c>
      <c r="H550" s="2"/>
      <c r="I550" s="2"/>
      <c r="J550" s="3">
        <f>IF(A550="Upgrade",IF(OR(H550=4,H550=5),VLOOKUP(I550,'Renewal Rates'!$A$22:$B$27,2,FALSE),2.7%),IF(A550="Renewal",100%,0%))</f>
        <v>2.7000000000000003E-2</v>
      </c>
      <c r="K550" s="2" t="s">
        <v>22</v>
      </c>
      <c r="L550" s="2">
        <v>376</v>
      </c>
      <c r="M550" s="2" t="s">
        <v>23</v>
      </c>
      <c r="N550" s="2" t="s">
        <v>24</v>
      </c>
      <c r="O550" s="4">
        <v>95469</v>
      </c>
      <c r="P550" s="4">
        <v>6098</v>
      </c>
      <c r="Q550" s="4">
        <v>32459</v>
      </c>
      <c r="R550" s="4">
        <v>127928</v>
      </c>
      <c r="S550" s="5">
        <v>0.4</v>
      </c>
      <c r="T550" s="4">
        <v>51171</v>
      </c>
      <c r="U550" s="4">
        <v>179099</v>
      </c>
      <c r="V550" s="6">
        <f t="shared" si="16"/>
        <v>4835.6730000000007</v>
      </c>
      <c r="W550" s="6">
        <f t="shared" si="17"/>
        <v>174263.32699999999</v>
      </c>
    </row>
    <row r="551" spans="1:23" x14ac:dyDescent="0.3">
      <c r="A551" s="2" t="s">
        <v>21</v>
      </c>
      <c r="B551" s="2">
        <v>16.007999999999999</v>
      </c>
      <c r="C551" s="2">
        <v>2000649014</v>
      </c>
      <c r="D551" s="2">
        <v>59.8</v>
      </c>
      <c r="E551" s="2"/>
      <c r="F551" s="2">
        <v>600</v>
      </c>
      <c r="G551" s="2">
        <v>975</v>
      </c>
      <c r="H551" s="2"/>
      <c r="I551" s="2"/>
      <c r="J551" s="3">
        <f>IF(A551="Upgrade",IF(OR(H551=4,H551=5),VLOOKUP(I551,'Renewal Rates'!$A$22:$B$27,2,FALSE),2.7%),IF(A551="Renewal",100%,0%))</f>
        <v>2.7000000000000003E-2</v>
      </c>
      <c r="K551" s="2" t="s">
        <v>22</v>
      </c>
      <c r="L551" s="2">
        <v>376</v>
      </c>
      <c r="M551" s="2" t="s">
        <v>23</v>
      </c>
      <c r="N551" s="2" t="s">
        <v>24</v>
      </c>
      <c r="O551" s="4">
        <v>398133</v>
      </c>
      <c r="P551" s="4">
        <v>6658</v>
      </c>
      <c r="Q551" s="4">
        <v>135365</v>
      </c>
      <c r="R551" s="4">
        <v>533498</v>
      </c>
      <c r="S551" s="5">
        <v>0.4</v>
      </c>
      <c r="T551" s="4">
        <v>213399</v>
      </c>
      <c r="U551" s="4">
        <v>746897</v>
      </c>
      <c r="V551" s="6">
        <f t="shared" si="16"/>
        <v>20166.219000000001</v>
      </c>
      <c r="W551" s="6">
        <f t="shared" si="17"/>
        <v>726730.78099999996</v>
      </c>
    </row>
    <row r="552" spans="1:23" x14ac:dyDescent="0.3">
      <c r="A552" s="2" t="s">
        <v>21</v>
      </c>
      <c r="B552" s="2">
        <v>16.010000000000002</v>
      </c>
      <c r="C552" s="2">
        <v>2000563803</v>
      </c>
      <c r="D552" s="2">
        <v>52.5</v>
      </c>
      <c r="E552" s="2"/>
      <c r="F552" s="2">
        <v>375</v>
      </c>
      <c r="G552" s="2">
        <v>825</v>
      </c>
      <c r="H552" s="2"/>
      <c r="I552" s="2"/>
      <c r="J552" s="3">
        <f>IF(A552="Upgrade",IF(OR(H552=4,H552=5),VLOOKUP(I552,'Renewal Rates'!$A$22:$B$27,2,FALSE),2.7%),IF(A552="Renewal",100%,0%))</f>
        <v>2.7000000000000003E-2</v>
      </c>
      <c r="K552" s="2" t="s">
        <v>22</v>
      </c>
      <c r="L552" s="2">
        <v>376</v>
      </c>
      <c r="M552" s="2" t="s">
        <v>23</v>
      </c>
      <c r="N552" s="2" t="s">
        <v>24</v>
      </c>
      <c r="O552" s="4">
        <v>269717</v>
      </c>
      <c r="P552" s="4">
        <v>5139</v>
      </c>
      <c r="Q552" s="4">
        <v>91704</v>
      </c>
      <c r="R552" s="4">
        <v>361420</v>
      </c>
      <c r="S552" s="5">
        <v>0.4</v>
      </c>
      <c r="T552" s="4">
        <v>144568</v>
      </c>
      <c r="U552" s="4">
        <v>505988</v>
      </c>
      <c r="V552" s="6">
        <f t="shared" si="16"/>
        <v>13661.676000000001</v>
      </c>
      <c r="W552" s="6">
        <f t="shared" si="17"/>
        <v>492326.32400000002</v>
      </c>
    </row>
    <row r="553" spans="1:23" x14ac:dyDescent="0.3">
      <c r="A553" s="2" t="s">
        <v>21</v>
      </c>
      <c r="B553" s="2">
        <v>16.010000000000002</v>
      </c>
      <c r="C553" s="2">
        <v>2000714870</v>
      </c>
      <c r="D553" s="2">
        <v>28.6</v>
      </c>
      <c r="E553" s="2"/>
      <c r="F553" s="2">
        <v>375</v>
      </c>
      <c r="G553" s="2">
        <v>825</v>
      </c>
      <c r="H553" s="2">
        <v>4</v>
      </c>
      <c r="I553" s="2">
        <v>2</v>
      </c>
      <c r="J553" s="3">
        <f>IF(A553="Upgrade",IF(OR(H553=4,H553=5),VLOOKUP(I553,'Renewal Rates'!$A$22:$B$27,2,FALSE),2.7%),IF(A553="Renewal",100%,0%))</f>
        <v>0</v>
      </c>
      <c r="K553" s="2" t="s">
        <v>22</v>
      </c>
      <c r="L553" s="2">
        <v>376</v>
      </c>
      <c r="M553" s="2" t="s">
        <v>23</v>
      </c>
      <c r="N553" s="2" t="s">
        <v>24</v>
      </c>
      <c r="O553" s="4">
        <v>174408</v>
      </c>
      <c r="P553" s="4">
        <v>6094</v>
      </c>
      <c r="Q553" s="4">
        <v>59299</v>
      </c>
      <c r="R553" s="4">
        <v>233707</v>
      </c>
      <c r="S553" s="5">
        <v>0.4</v>
      </c>
      <c r="T553" s="4">
        <v>93483</v>
      </c>
      <c r="U553" s="4">
        <v>327190</v>
      </c>
      <c r="V553" s="6">
        <f t="shared" si="16"/>
        <v>0</v>
      </c>
      <c r="W553" s="6">
        <f t="shared" si="17"/>
        <v>327190</v>
      </c>
    </row>
    <row r="554" spans="1:23" x14ac:dyDescent="0.3">
      <c r="A554" s="2" t="s">
        <v>21</v>
      </c>
      <c r="B554" s="2">
        <v>16.010000000000002</v>
      </c>
      <c r="C554" s="2">
        <v>2000322992</v>
      </c>
      <c r="D554" s="2">
        <v>59.5</v>
      </c>
      <c r="E554" s="2"/>
      <c r="F554" s="2">
        <v>300</v>
      </c>
      <c r="G554" s="2">
        <v>825</v>
      </c>
      <c r="H554" s="2">
        <v>4</v>
      </c>
      <c r="I554" s="2">
        <v>3</v>
      </c>
      <c r="J554" s="3">
        <f>IF(A554="Upgrade",IF(OR(H554=4,H554=5),VLOOKUP(I554,'Renewal Rates'!$A$22:$B$27,2,FALSE),2.7%),IF(A554="Renewal",100%,0%))</f>
        <v>0.21</v>
      </c>
      <c r="K554" s="2" t="s">
        <v>22</v>
      </c>
      <c r="L554" s="2">
        <v>376</v>
      </c>
      <c r="M554" s="2" t="s">
        <v>23</v>
      </c>
      <c r="N554" s="2" t="s">
        <v>24</v>
      </c>
      <c r="O554" s="4">
        <v>303807</v>
      </c>
      <c r="P554" s="4">
        <v>5106</v>
      </c>
      <c r="Q554" s="4">
        <v>103294</v>
      </c>
      <c r="R554" s="4">
        <v>407101</v>
      </c>
      <c r="S554" s="5">
        <v>0.4</v>
      </c>
      <c r="T554" s="4">
        <v>162841</v>
      </c>
      <c r="U554" s="4">
        <v>569942</v>
      </c>
      <c r="V554" s="6">
        <f t="shared" si="16"/>
        <v>119687.81999999999</v>
      </c>
      <c r="W554" s="6">
        <f t="shared" si="17"/>
        <v>450254.18</v>
      </c>
    </row>
    <row r="555" spans="1:23" x14ac:dyDescent="0.3">
      <c r="A555" s="2" t="s">
        <v>21</v>
      </c>
      <c r="B555" s="2">
        <v>16.018000000000001</v>
      </c>
      <c r="C555" s="2">
        <v>2000387960</v>
      </c>
      <c r="D555" s="2">
        <v>42.2</v>
      </c>
      <c r="E555" s="2"/>
      <c r="F555" s="2">
        <v>225</v>
      </c>
      <c r="G555" s="2">
        <v>375</v>
      </c>
      <c r="H555" s="2"/>
      <c r="I555" s="2"/>
      <c r="J555" s="3">
        <f>IF(A555="Upgrade",IF(OR(H555=4,H555=5),VLOOKUP(I555,'Renewal Rates'!$A$22:$B$27,2,FALSE),2.7%),IF(A555="Renewal",100%,0%))</f>
        <v>2.7000000000000003E-2</v>
      </c>
      <c r="K555" s="2" t="s">
        <v>22</v>
      </c>
      <c r="L555" s="2">
        <v>376</v>
      </c>
      <c r="M555" s="2" t="s">
        <v>23</v>
      </c>
      <c r="N555" s="2" t="s">
        <v>24</v>
      </c>
      <c r="O555" s="4">
        <v>94209</v>
      </c>
      <c r="P555" s="4">
        <v>2234</v>
      </c>
      <c r="Q555" s="4">
        <v>32031</v>
      </c>
      <c r="R555" s="4">
        <v>126240</v>
      </c>
      <c r="S555" s="5">
        <v>0.4</v>
      </c>
      <c r="T555" s="4">
        <v>50496</v>
      </c>
      <c r="U555" s="4">
        <v>176736</v>
      </c>
      <c r="V555" s="6">
        <f t="shared" si="16"/>
        <v>4771.8720000000003</v>
      </c>
      <c r="W555" s="6">
        <f t="shared" si="17"/>
        <v>171964.128</v>
      </c>
    </row>
    <row r="556" spans="1:23" x14ac:dyDescent="0.3">
      <c r="A556" s="2" t="s">
        <v>21</v>
      </c>
      <c r="B556" s="2">
        <v>16.009</v>
      </c>
      <c r="C556" s="2">
        <v>2000620925</v>
      </c>
      <c r="D556" s="2">
        <v>55.1</v>
      </c>
      <c r="E556" s="2"/>
      <c r="F556" s="2">
        <v>300</v>
      </c>
      <c r="G556" s="2">
        <v>825</v>
      </c>
      <c r="H556" s="2"/>
      <c r="I556" s="2"/>
      <c r="J556" s="3">
        <f>IF(A556="Upgrade",IF(OR(H556=4,H556=5),VLOOKUP(I556,'Renewal Rates'!$A$22:$B$27,2,FALSE),2.7%),IF(A556="Renewal",100%,0%))</f>
        <v>2.7000000000000003E-2</v>
      </c>
      <c r="K556" s="2" t="s">
        <v>22</v>
      </c>
      <c r="L556" s="2">
        <v>376</v>
      </c>
      <c r="M556" s="2" t="s">
        <v>23</v>
      </c>
      <c r="N556" s="2" t="s">
        <v>24</v>
      </c>
      <c r="O556" s="4">
        <v>273675</v>
      </c>
      <c r="P556" s="4">
        <v>4969</v>
      </c>
      <c r="Q556" s="4">
        <v>93049</v>
      </c>
      <c r="R556" s="4">
        <v>366724</v>
      </c>
      <c r="S556" s="5">
        <v>0.4</v>
      </c>
      <c r="T556" s="4">
        <v>146690</v>
      </c>
      <c r="U556" s="4">
        <v>513414</v>
      </c>
      <c r="V556" s="6">
        <f t="shared" si="16"/>
        <v>13862.178000000002</v>
      </c>
      <c r="W556" s="6">
        <f t="shared" si="17"/>
        <v>499551.82199999999</v>
      </c>
    </row>
    <row r="557" spans="1:23" x14ac:dyDescent="0.3">
      <c r="A557" s="2" t="s">
        <v>21</v>
      </c>
      <c r="B557" s="2">
        <v>16.015999999999998</v>
      </c>
      <c r="C557" s="2">
        <v>2000213408</v>
      </c>
      <c r="D557" s="2">
        <v>60.9</v>
      </c>
      <c r="E557" s="2"/>
      <c r="F557" s="2">
        <v>375</v>
      </c>
      <c r="G557" s="2">
        <v>675</v>
      </c>
      <c r="H557" s="2"/>
      <c r="I557" s="2"/>
      <c r="J557" s="3">
        <f>IF(A557="Upgrade",IF(OR(H557=4,H557=5),VLOOKUP(I557,'Renewal Rates'!$A$22:$B$27,2,FALSE),2.7%),IF(A557="Renewal",100%,0%))</f>
        <v>2.7000000000000003E-2</v>
      </c>
      <c r="K557" s="2" t="s">
        <v>22</v>
      </c>
      <c r="L557" s="2">
        <v>376</v>
      </c>
      <c r="M557" s="2" t="s">
        <v>23</v>
      </c>
      <c r="N557" s="2" t="s">
        <v>24</v>
      </c>
      <c r="O557" s="4">
        <v>245008</v>
      </c>
      <c r="P557" s="4">
        <v>4024</v>
      </c>
      <c r="Q557" s="4">
        <v>83303</v>
      </c>
      <c r="R557" s="4">
        <v>328310</v>
      </c>
      <c r="S557" s="5">
        <v>0.4</v>
      </c>
      <c r="T557" s="4">
        <v>131324</v>
      </c>
      <c r="U557" s="4">
        <v>459635</v>
      </c>
      <c r="V557" s="6">
        <f t="shared" si="16"/>
        <v>12410.145000000002</v>
      </c>
      <c r="W557" s="6">
        <f t="shared" si="17"/>
        <v>447224.85499999998</v>
      </c>
    </row>
    <row r="558" spans="1:23" x14ac:dyDescent="0.3">
      <c r="A558" s="2" t="s">
        <v>21</v>
      </c>
      <c r="B558" s="2">
        <v>16.015999999999998</v>
      </c>
      <c r="C558" s="2">
        <v>3000044927</v>
      </c>
      <c r="D558" s="2">
        <v>14.6</v>
      </c>
      <c r="E558" s="2"/>
      <c r="F558" s="2">
        <v>300</v>
      </c>
      <c r="G558" s="2">
        <v>675</v>
      </c>
      <c r="H558" s="2"/>
      <c r="I558" s="2"/>
      <c r="J558" s="3">
        <f>IF(A558="Upgrade",IF(OR(H558=4,H558=5),VLOOKUP(I558,'Renewal Rates'!$A$22:$B$27,2,FALSE),2.7%),IF(A558="Renewal",100%,0%))</f>
        <v>2.7000000000000003E-2</v>
      </c>
      <c r="K558" s="2" t="s">
        <v>22</v>
      </c>
      <c r="L558" s="2">
        <v>376</v>
      </c>
      <c r="M558" s="2" t="s">
        <v>23</v>
      </c>
      <c r="N558" s="2" t="s">
        <v>24</v>
      </c>
      <c r="O558" s="4">
        <v>86896</v>
      </c>
      <c r="P558" s="4">
        <v>5960</v>
      </c>
      <c r="Q558" s="4">
        <v>29545</v>
      </c>
      <c r="R558" s="4">
        <v>116441</v>
      </c>
      <c r="S558" s="5">
        <v>0.4</v>
      </c>
      <c r="T558" s="4">
        <v>46576</v>
      </c>
      <c r="U558" s="4">
        <v>163017</v>
      </c>
      <c r="V558" s="6">
        <f t="shared" si="16"/>
        <v>4401.4590000000007</v>
      </c>
      <c r="W558" s="6">
        <f t="shared" si="17"/>
        <v>158615.541</v>
      </c>
    </row>
    <row r="559" spans="1:23" x14ac:dyDescent="0.3">
      <c r="A559" s="2" t="s">
        <v>21</v>
      </c>
      <c r="B559" s="2">
        <v>16.016999999999999</v>
      </c>
      <c r="C559" s="2">
        <v>3000044925</v>
      </c>
      <c r="D559" s="2">
        <v>14.6</v>
      </c>
      <c r="E559" s="2"/>
      <c r="F559" s="2">
        <v>375</v>
      </c>
      <c r="G559" s="2">
        <v>600</v>
      </c>
      <c r="H559" s="2"/>
      <c r="I559" s="2"/>
      <c r="J559" s="3">
        <f>IF(A559="Upgrade",IF(OR(H559=4,H559=5),VLOOKUP(I559,'Renewal Rates'!$A$22:$B$27,2,FALSE),2.7%),IF(A559="Renewal",100%,0%))</f>
        <v>2.7000000000000003E-2</v>
      </c>
      <c r="K559" s="2" t="s">
        <v>22</v>
      </c>
      <c r="L559" s="2">
        <v>376</v>
      </c>
      <c r="M559" s="2" t="s">
        <v>23</v>
      </c>
      <c r="N559" s="2" t="s">
        <v>24</v>
      </c>
      <c r="O559" s="4">
        <v>77991</v>
      </c>
      <c r="P559" s="4">
        <v>5344</v>
      </c>
      <c r="Q559" s="4">
        <v>26517</v>
      </c>
      <c r="R559" s="4">
        <v>104508</v>
      </c>
      <c r="S559" s="5">
        <v>0.4</v>
      </c>
      <c r="T559" s="4">
        <v>41803</v>
      </c>
      <c r="U559" s="4">
        <v>146311</v>
      </c>
      <c r="V559" s="6">
        <f t="shared" si="16"/>
        <v>3950.3970000000004</v>
      </c>
      <c r="W559" s="6">
        <f t="shared" si="17"/>
        <v>142360.603</v>
      </c>
    </row>
    <row r="560" spans="1:23" x14ac:dyDescent="0.3">
      <c r="A560" s="2" t="s">
        <v>21</v>
      </c>
      <c r="B560" s="2">
        <v>16.016999999999999</v>
      </c>
      <c r="C560" s="2">
        <v>3000044924</v>
      </c>
      <c r="D560" s="2">
        <v>5.0999999999999996</v>
      </c>
      <c r="E560" s="2"/>
      <c r="F560" s="2">
        <v>225</v>
      </c>
      <c r="G560" s="2">
        <v>600</v>
      </c>
      <c r="H560" s="2"/>
      <c r="I560" s="2"/>
      <c r="J560" s="3">
        <f>IF(A560="Upgrade",IF(OR(H560=4,H560=5),VLOOKUP(I560,'Renewal Rates'!$A$22:$B$27,2,FALSE),2.7%),IF(A560="Renewal",100%,0%))</f>
        <v>2.7000000000000003E-2</v>
      </c>
      <c r="K560" s="2" t="s">
        <v>22</v>
      </c>
      <c r="L560" s="2">
        <v>376</v>
      </c>
      <c r="M560" s="2" t="s">
        <v>23</v>
      </c>
      <c r="N560" s="2" t="s">
        <v>24</v>
      </c>
      <c r="O560" s="4">
        <v>48781</v>
      </c>
      <c r="P560" s="4">
        <v>9481</v>
      </c>
      <c r="Q560" s="4">
        <v>16585</v>
      </c>
      <c r="R560" s="4">
        <v>65366</v>
      </c>
      <c r="S560" s="5">
        <v>0.4</v>
      </c>
      <c r="T560" s="4">
        <v>26146</v>
      </c>
      <c r="U560" s="4">
        <v>91512</v>
      </c>
      <c r="V560" s="6">
        <f t="shared" si="16"/>
        <v>2470.8240000000001</v>
      </c>
      <c r="W560" s="6">
        <f t="shared" si="17"/>
        <v>89041.176000000007</v>
      </c>
    </row>
    <row r="561" spans="1:23" x14ac:dyDescent="0.3">
      <c r="A561" s="2" t="s">
        <v>21</v>
      </c>
      <c r="B561" s="2">
        <v>16.016999999999999</v>
      </c>
      <c r="C561" s="2">
        <v>3000044923</v>
      </c>
      <c r="D561" s="2">
        <v>19.8</v>
      </c>
      <c r="E561" s="2"/>
      <c r="F561" s="2">
        <v>225</v>
      </c>
      <c r="G561" s="2">
        <v>600</v>
      </c>
      <c r="H561" s="2"/>
      <c r="I561" s="2"/>
      <c r="J561" s="3">
        <f>IF(A561="Upgrade",IF(OR(H561=4,H561=5),VLOOKUP(I561,'Renewal Rates'!$A$22:$B$27,2,FALSE),2.7%),IF(A561="Renewal",100%,0%))</f>
        <v>2.7000000000000003E-2</v>
      </c>
      <c r="K561" s="2" t="s">
        <v>22</v>
      </c>
      <c r="L561" s="2">
        <v>376</v>
      </c>
      <c r="M561" s="2" t="s">
        <v>23</v>
      </c>
      <c r="N561" s="2" t="s">
        <v>24</v>
      </c>
      <c r="O561" s="4">
        <v>83362</v>
      </c>
      <c r="P561" s="4">
        <v>4213</v>
      </c>
      <c r="Q561" s="4">
        <v>28343</v>
      </c>
      <c r="R561" s="4">
        <v>111705</v>
      </c>
      <c r="S561" s="5">
        <v>0.4</v>
      </c>
      <c r="T561" s="4">
        <v>44682</v>
      </c>
      <c r="U561" s="4">
        <v>156387</v>
      </c>
      <c r="V561" s="6">
        <f t="shared" si="16"/>
        <v>4222.4490000000005</v>
      </c>
      <c r="W561" s="6">
        <f t="shared" si="17"/>
        <v>152164.55100000001</v>
      </c>
    </row>
    <row r="562" spans="1:23" x14ac:dyDescent="0.3">
      <c r="A562" s="2" t="s">
        <v>21</v>
      </c>
      <c r="B562" s="2">
        <v>16.016999999999999</v>
      </c>
      <c r="C562" s="2">
        <v>2000974326</v>
      </c>
      <c r="D562" s="2">
        <v>83.8</v>
      </c>
      <c r="E562" s="2"/>
      <c r="F562" s="2">
        <v>225</v>
      </c>
      <c r="G562" s="2">
        <v>600</v>
      </c>
      <c r="H562" s="2"/>
      <c r="I562" s="2"/>
      <c r="J562" s="3">
        <f>IF(A562="Upgrade",IF(OR(H562=4,H562=5),VLOOKUP(I562,'Renewal Rates'!$A$22:$B$27,2,FALSE),2.7%),IF(A562="Renewal",100%,0%))</f>
        <v>2.7000000000000003E-2</v>
      </c>
      <c r="K562" s="2" t="s">
        <v>22</v>
      </c>
      <c r="L562" s="2">
        <v>376</v>
      </c>
      <c r="M562" s="2" t="s">
        <v>23</v>
      </c>
      <c r="N562" s="2" t="s">
        <v>24</v>
      </c>
      <c r="O562" s="4">
        <v>300991</v>
      </c>
      <c r="P562" s="4">
        <v>3591</v>
      </c>
      <c r="Q562" s="4">
        <v>102337</v>
      </c>
      <c r="R562" s="4">
        <v>403328</v>
      </c>
      <c r="S562" s="5">
        <v>0.4</v>
      </c>
      <c r="T562" s="4">
        <v>161331</v>
      </c>
      <c r="U562" s="4">
        <v>564659</v>
      </c>
      <c r="V562" s="6">
        <f t="shared" si="16"/>
        <v>15245.793000000001</v>
      </c>
      <c r="W562" s="6">
        <f t="shared" si="17"/>
        <v>549413.20700000005</v>
      </c>
    </row>
    <row r="563" spans="1:23" x14ac:dyDescent="0.3">
      <c r="A563" s="2" t="s">
        <v>25</v>
      </c>
      <c r="B563" s="2">
        <v>16.001000000000001</v>
      </c>
      <c r="C563" s="2"/>
      <c r="D563" s="2"/>
      <c r="E563" s="2">
        <v>250.6</v>
      </c>
      <c r="F563" s="2"/>
      <c r="G563" s="2">
        <v>525</v>
      </c>
      <c r="H563" s="2"/>
      <c r="I563" s="2"/>
      <c r="J563" s="3">
        <f>IF(A563="Upgrade",IF(OR(H563=4,H563=5),VLOOKUP(I563,'Renewal Rates'!$A$22:$B$27,2,FALSE),2.7%),IF(A563="Renewal",100%,0%))</f>
        <v>0</v>
      </c>
      <c r="K563" s="2" t="s">
        <v>22</v>
      </c>
      <c r="L563" s="2">
        <v>376</v>
      </c>
      <c r="M563" s="2" t="s">
        <v>23</v>
      </c>
      <c r="N563" s="2" t="s">
        <v>24</v>
      </c>
      <c r="O563" s="4">
        <v>726388</v>
      </c>
      <c r="P563" s="4">
        <v>2898</v>
      </c>
      <c r="Q563" s="4">
        <v>246972</v>
      </c>
      <c r="R563" s="4">
        <v>973360</v>
      </c>
      <c r="S563" s="5">
        <v>0.4</v>
      </c>
      <c r="T563" s="4">
        <v>389344</v>
      </c>
      <c r="U563" s="4">
        <v>1362704</v>
      </c>
      <c r="V563" s="6">
        <f t="shared" si="16"/>
        <v>0</v>
      </c>
      <c r="W563" s="6">
        <f t="shared" si="17"/>
        <v>1362704</v>
      </c>
    </row>
    <row r="564" spans="1:23" x14ac:dyDescent="0.3">
      <c r="A564" s="2" t="s">
        <v>21</v>
      </c>
      <c r="B564" s="2">
        <v>16.007000000000001</v>
      </c>
      <c r="C564" s="2">
        <v>2000330197</v>
      </c>
      <c r="D564" s="2">
        <v>49.8</v>
      </c>
      <c r="E564" s="2"/>
      <c r="F564" s="2">
        <v>300</v>
      </c>
      <c r="G564" s="2">
        <v>525</v>
      </c>
      <c r="H564" s="2"/>
      <c r="I564" s="2"/>
      <c r="J564" s="3">
        <f>IF(A564="Upgrade",IF(OR(H564=4,H564=5),VLOOKUP(I564,'Renewal Rates'!$A$22:$B$27,2,FALSE),2.7%),IF(A564="Renewal",100%,0%))</f>
        <v>2.7000000000000003E-2</v>
      </c>
      <c r="K564" s="2" t="s">
        <v>22</v>
      </c>
      <c r="L564" s="2">
        <v>376</v>
      </c>
      <c r="M564" s="2" t="s">
        <v>23</v>
      </c>
      <c r="N564" s="2" t="s">
        <v>24</v>
      </c>
      <c r="O564" s="4">
        <v>145694</v>
      </c>
      <c r="P564" s="4">
        <v>2927</v>
      </c>
      <c r="Q564" s="4">
        <v>49536</v>
      </c>
      <c r="R564" s="4">
        <v>195230</v>
      </c>
      <c r="S564" s="5">
        <v>0.4</v>
      </c>
      <c r="T564" s="4">
        <v>78092</v>
      </c>
      <c r="U564" s="4">
        <v>273322</v>
      </c>
      <c r="V564" s="6">
        <f t="shared" si="16"/>
        <v>7379.6940000000004</v>
      </c>
      <c r="W564" s="6">
        <f t="shared" si="17"/>
        <v>265942.30599999998</v>
      </c>
    </row>
    <row r="565" spans="1:23" x14ac:dyDescent="0.3">
      <c r="A565" s="2" t="s">
        <v>21</v>
      </c>
      <c r="B565" s="2">
        <v>16.007000000000001</v>
      </c>
      <c r="C565" s="2">
        <v>2000700879</v>
      </c>
      <c r="D565" s="2">
        <v>43.4</v>
      </c>
      <c r="E565" s="2"/>
      <c r="F565" s="2">
        <v>300</v>
      </c>
      <c r="G565" s="2">
        <v>525</v>
      </c>
      <c r="H565" s="2"/>
      <c r="I565" s="2"/>
      <c r="J565" s="3">
        <f>IF(A565="Upgrade",IF(OR(H565=4,H565=5),VLOOKUP(I565,'Renewal Rates'!$A$22:$B$27,2,FALSE),2.7%),IF(A565="Renewal",100%,0%))</f>
        <v>2.7000000000000003E-2</v>
      </c>
      <c r="K565" s="2" t="s">
        <v>22</v>
      </c>
      <c r="L565" s="2">
        <v>376</v>
      </c>
      <c r="M565" s="2" t="s">
        <v>23</v>
      </c>
      <c r="N565" s="2" t="s">
        <v>24</v>
      </c>
      <c r="O565" s="4">
        <v>140137</v>
      </c>
      <c r="P565" s="4">
        <v>3228</v>
      </c>
      <c r="Q565" s="4">
        <v>47647</v>
      </c>
      <c r="R565" s="4">
        <v>187783</v>
      </c>
      <c r="S565" s="5">
        <v>0.4</v>
      </c>
      <c r="T565" s="4">
        <v>75113</v>
      </c>
      <c r="U565" s="4">
        <v>262897</v>
      </c>
      <c r="V565" s="6">
        <f t="shared" si="16"/>
        <v>7098.219000000001</v>
      </c>
      <c r="W565" s="6">
        <f t="shared" si="17"/>
        <v>255798.78099999999</v>
      </c>
    </row>
    <row r="566" spans="1:23" x14ac:dyDescent="0.3">
      <c r="A566" s="2" t="s">
        <v>21</v>
      </c>
      <c r="B566" s="2">
        <v>16.007000000000001</v>
      </c>
      <c r="C566" s="2">
        <v>2000371858</v>
      </c>
      <c r="D566" s="2">
        <v>17</v>
      </c>
      <c r="E566" s="2"/>
      <c r="F566" s="2">
        <v>225</v>
      </c>
      <c r="G566" s="2">
        <v>525</v>
      </c>
      <c r="H566" s="2"/>
      <c r="I566" s="2"/>
      <c r="J566" s="3">
        <f>IF(A566="Upgrade",IF(OR(H566=4,H566=5),VLOOKUP(I566,'Renewal Rates'!$A$22:$B$27,2,FALSE),2.7%),IF(A566="Renewal",100%,0%))</f>
        <v>2.7000000000000003E-2</v>
      </c>
      <c r="K566" s="2" t="s">
        <v>22</v>
      </c>
      <c r="L566" s="2">
        <v>376</v>
      </c>
      <c r="M566" s="2" t="s">
        <v>23</v>
      </c>
      <c r="N566" s="2" t="s">
        <v>24</v>
      </c>
      <c r="O566" s="4">
        <v>94615</v>
      </c>
      <c r="P566" s="4">
        <v>5554</v>
      </c>
      <c r="Q566" s="4">
        <v>32169</v>
      </c>
      <c r="R566" s="4">
        <v>126784</v>
      </c>
      <c r="S566" s="5">
        <v>0.4</v>
      </c>
      <c r="T566" s="4">
        <v>50714</v>
      </c>
      <c r="U566" s="4">
        <v>177498</v>
      </c>
      <c r="V566" s="6">
        <f t="shared" si="16"/>
        <v>4792.4460000000008</v>
      </c>
      <c r="W566" s="6">
        <f t="shared" si="17"/>
        <v>172705.554</v>
      </c>
    </row>
    <row r="567" spans="1:23" x14ac:dyDescent="0.3">
      <c r="A567" s="2" t="s">
        <v>21</v>
      </c>
      <c r="B567" s="2">
        <v>16.007000000000001</v>
      </c>
      <c r="C567" s="2">
        <v>2000070653</v>
      </c>
      <c r="D567" s="2">
        <v>1.8</v>
      </c>
      <c r="E567" s="2"/>
      <c r="F567" s="2">
        <v>225</v>
      </c>
      <c r="G567" s="2">
        <v>525</v>
      </c>
      <c r="H567" s="2"/>
      <c r="I567" s="2"/>
      <c r="J567" s="3">
        <f>IF(A567="Upgrade",IF(OR(H567=4,H567=5),VLOOKUP(I567,'Renewal Rates'!$A$22:$B$27,2,FALSE),2.7%),IF(A567="Renewal",100%,0%))</f>
        <v>2.7000000000000003E-2</v>
      </c>
      <c r="K567" s="2" t="s">
        <v>22</v>
      </c>
      <c r="L567" s="2">
        <v>376</v>
      </c>
      <c r="M567" s="2" t="s">
        <v>23</v>
      </c>
      <c r="N567" s="2" t="s">
        <v>24</v>
      </c>
      <c r="O567" s="4">
        <v>61901</v>
      </c>
      <c r="P567" s="4">
        <v>33869</v>
      </c>
      <c r="Q567" s="4">
        <v>21046</v>
      </c>
      <c r="R567" s="4">
        <v>82948</v>
      </c>
      <c r="S567" s="5">
        <v>0.4</v>
      </c>
      <c r="T567" s="4">
        <v>33179</v>
      </c>
      <c r="U567" s="4">
        <v>116127</v>
      </c>
      <c r="V567" s="6">
        <f t="shared" si="16"/>
        <v>3135.4290000000005</v>
      </c>
      <c r="W567" s="6">
        <f t="shared" si="17"/>
        <v>112991.571</v>
      </c>
    </row>
    <row r="568" spans="1:23" x14ac:dyDescent="0.3">
      <c r="A568" s="2" t="s">
        <v>25</v>
      </c>
      <c r="B568" s="2">
        <v>16.001999999999999</v>
      </c>
      <c r="C568" s="2"/>
      <c r="D568" s="2"/>
      <c r="E568" s="2">
        <v>106.4</v>
      </c>
      <c r="F568" s="2"/>
      <c r="G568" s="2">
        <v>525</v>
      </c>
      <c r="H568" s="2"/>
      <c r="I568" s="2"/>
      <c r="J568" s="3">
        <f>IF(A568="Upgrade",IF(OR(H568=4,H568=5),VLOOKUP(I568,'Renewal Rates'!$A$22:$B$27,2,FALSE),2.7%),IF(A568="Renewal",100%,0%))</f>
        <v>0</v>
      </c>
      <c r="K568" s="2" t="s">
        <v>22</v>
      </c>
      <c r="L568" s="2">
        <v>376</v>
      </c>
      <c r="M568" s="2" t="s">
        <v>23</v>
      </c>
      <c r="N568" s="2" t="s">
        <v>24</v>
      </c>
      <c r="O568" s="4">
        <v>297326</v>
      </c>
      <c r="P568" s="4">
        <v>2793</v>
      </c>
      <c r="Q568" s="4">
        <v>101091</v>
      </c>
      <c r="R568" s="4">
        <v>398417</v>
      </c>
      <c r="S568" s="5">
        <v>0.4</v>
      </c>
      <c r="T568" s="4">
        <v>159367</v>
      </c>
      <c r="U568" s="4">
        <v>557784</v>
      </c>
      <c r="V568" s="6">
        <f t="shared" si="16"/>
        <v>0</v>
      </c>
      <c r="W568" s="6">
        <f t="shared" si="17"/>
        <v>557784</v>
      </c>
    </row>
    <row r="569" spans="1:23" x14ac:dyDescent="0.3">
      <c r="A569" s="2" t="s">
        <v>21</v>
      </c>
      <c r="B569" s="2">
        <v>16.024999999999999</v>
      </c>
      <c r="C569" s="2">
        <v>2000640725</v>
      </c>
      <c r="D569" s="2">
        <v>13.8</v>
      </c>
      <c r="E569" s="2"/>
      <c r="F569" s="2">
        <v>300</v>
      </c>
      <c r="G569" s="2">
        <v>825</v>
      </c>
      <c r="H569" s="2"/>
      <c r="I569" s="2"/>
      <c r="J569" s="3">
        <f>IF(A569="Upgrade",IF(OR(H569=4,H569=5),VLOOKUP(I569,'Renewal Rates'!$A$22:$B$27,2,FALSE),2.7%),IF(A569="Renewal",100%,0%))</f>
        <v>2.7000000000000003E-2</v>
      </c>
      <c r="K569" s="2" t="s">
        <v>22</v>
      </c>
      <c r="L569" s="2">
        <v>376</v>
      </c>
      <c r="M569" s="2" t="s">
        <v>23</v>
      </c>
      <c r="N569" s="2" t="s">
        <v>24</v>
      </c>
      <c r="O569" s="4">
        <v>112961</v>
      </c>
      <c r="P569" s="4">
        <v>8181</v>
      </c>
      <c r="Q569" s="4">
        <v>38407</v>
      </c>
      <c r="R569" s="4">
        <v>151367</v>
      </c>
      <c r="S569" s="5">
        <v>0.4</v>
      </c>
      <c r="T569" s="4">
        <v>60547</v>
      </c>
      <c r="U569" s="4">
        <v>211914</v>
      </c>
      <c r="V569" s="6">
        <f t="shared" si="16"/>
        <v>5721.6780000000008</v>
      </c>
      <c r="W569" s="6">
        <f t="shared" si="17"/>
        <v>206192.32199999999</v>
      </c>
    </row>
    <row r="570" spans="1:23" x14ac:dyDescent="0.3">
      <c r="A570" s="2" t="s">
        <v>21</v>
      </c>
      <c r="B570" s="2">
        <v>16.024999999999999</v>
      </c>
      <c r="C570" s="2">
        <v>2000159575</v>
      </c>
      <c r="D570" s="2">
        <v>18.899999999999999</v>
      </c>
      <c r="E570" s="2"/>
      <c r="F570" s="2">
        <v>300</v>
      </c>
      <c r="G570" s="2">
        <v>825</v>
      </c>
      <c r="H570" s="2"/>
      <c r="I570" s="2"/>
      <c r="J570" s="3">
        <f>IF(A570="Upgrade",IF(OR(H570=4,H570=5),VLOOKUP(I570,'Renewal Rates'!$A$22:$B$27,2,FALSE),2.7%),IF(A570="Renewal",100%,0%))</f>
        <v>2.7000000000000003E-2</v>
      </c>
      <c r="K570" s="2" t="s">
        <v>22</v>
      </c>
      <c r="L570" s="2">
        <v>376</v>
      </c>
      <c r="M570" s="2" t="s">
        <v>23</v>
      </c>
      <c r="N570" s="2" t="s">
        <v>24</v>
      </c>
      <c r="O570" s="4">
        <v>116695</v>
      </c>
      <c r="P570" s="4">
        <v>6188</v>
      </c>
      <c r="Q570" s="4">
        <v>39676</v>
      </c>
      <c r="R570" s="4">
        <v>156371</v>
      </c>
      <c r="S570" s="5">
        <v>0.4</v>
      </c>
      <c r="T570" s="4">
        <v>62548</v>
      </c>
      <c r="U570" s="4">
        <v>218919</v>
      </c>
      <c r="V570" s="6">
        <f t="shared" si="16"/>
        <v>5910.813000000001</v>
      </c>
      <c r="W570" s="6">
        <f t="shared" si="17"/>
        <v>213008.18700000001</v>
      </c>
    </row>
    <row r="571" spans="1:23" x14ac:dyDescent="0.3">
      <c r="A571" s="2" t="s">
        <v>21</v>
      </c>
      <c r="B571" s="2">
        <v>16.024999999999999</v>
      </c>
      <c r="C571" s="2">
        <v>2000183452</v>
      </c>
      <c r="D571" s="2">
        <v>63.7</v>
      </c>
      <c r="E571" s="2"/>
      <c r="F571" s="2">
        <v>300</v>
      </c>
      <c r="G571" s="2">
        <v>825</v>
      </c>
      <c r="H571" s="2"/>
      <c r="I571" s="2"/>
      <c r="J571" s="3">
        <f>IF(A571="Upgrade",IF(OR(H571=4,H571=5),VLOOKUP(I571,'Renewal Rates'!$A$22:$B$27,2,FALSE),2.7%),IF(A571="Renewal",100%,0%))</f>
        <v>2.7000000000000003E-2</v>
      </c>
      <c r="K571" s="2" t="s">
        <v>22</v>
      </c>
      <c r="L571" s="2">
        <v>376</v>
      </c>
      <c r="M571" s="2" t="s">
        <v>23</v>
      </c>
      <c r="N571" s="2" t="s">
        <v>24</v>
      </c>
      <c r="O571" s="4">
        <v>306303</v>
      </c>
      <c r="P571" s="4">
        <v>4806</v>
      </c>
      <c r="Q571" s="4">
        <v>104143</v>
      </c>
      <c r="R571" s="4">
        <v>410446</v>
      </c>
      <c r="S571" s="5">
        <v>0.4</v>
      </c>
      <c r="T571" s="4">
        <v>164178</v>
      </c>
      <c r="U571" s="4">
        <v>574624</v>
      </c>
      <c r="V571" s="6">
        <f t="shared" si="16"/>
        <v>15514.848000000002</v>
      </c>
      <c r="W571" s="6">
        <f t="shared" si="17"/>
        <v>559109.152</v>
      </c>
    </row>
    <row r="572" spans="1:23" x14ac:dyDescent="0.3">
      <c r="A572" s="2" t="s">
        <v>21</v>
      </c>
      <c r="B572" s="2">
        <v>16.024000000000001</v>
      </c>
      <c r="C572" s="2">
        <v>2000175967</v>
      </c>
      <c r="D572" s="2">
        <v>41.6</v>
      </c>
      <c r="E572" s="2"/>
      <c r="F572" s="2">
        <v>300</v>
      </c>
      <c r="G572" s="2">
        <v>675</v>
      </c>
      <c r="H572" s="2"/>
      <c r="I572" s="2"/>
      <c r="J572" s="3">
        <f>IF(A572="Upgrade",IF(OR(H572=4,H572=5),VLOOKUP(I572,'Renewal Rates'!$A$22:$B$27,2,FALSE),2.7%),IF(A572="Renewal",100%,0%))</f>
        <v>2.7000000000000003E-2</v>
      </c>
      <c r="K572" s="2" t="s">
        <v>22</v>
      </c>
      <c r="L572" s="2">
        <v>376</v>
      </c>
      <c r="M572" s="2" t="s">
        <v>23</v>
      </c>
      <c r="N572" s="2" t="s">
        <v>24</v>
      </c>
      <c r="O572" s="4">
        <v>158120</v>
      </c>
      <c r="P572" s="4">
        <v>3799</v>
      </c>
      <c r="Q572" s="4">
        <v>53761</v>
      </c>
      <c r="R572" s="4">
        <v>211880</v>
      </c>
      <c r="S572" s="5">
        <v>0.4</v>
      </c>
      <c r="T572" s="4">
        <v>84752</v>
      </c>
      <c r="U572" s="4">
        <v>296633</v>
      </c>
      <c r="V572" s="6">
        <f t="shared" si="16"/>
        <v>8009.0910000000013</v>
      </c>
      <c r="W572" s="6">
        <f t="shared" si="17"/>
        <v>288623.90899999999</v>
      </c>
    </row>
    <row r="573" spans="1:23" x14ac:dyDescent="0.3">
      <c r="A573" s="2" t="s">
        <v>21</v>
      </c>
      <c r="B573" s="2">
        <v>16.023</v>
      </c>
      <c r="C573" s="2">
        <v>2000055501</v>
      </c>
      <c r="D573" s="2">
        <v>99.4</v>
      </c>
      <c r="E573" s="2"/>
      <c r="F573" s="2">
        <v>300</v>
      </c>
      <c r="G573" s="2">
        <v>525</v>
      </c>
      <c r="H573" s="2"/>
      <c r="I573" s="2"/>
      <c r="J573" s="3">
        <f>IF(A573="Upgrade",IF(OR(H573=4,H573=5),VLOOKUP(I573,'Renewal Rates'!$A$22:$B$27,2,FALSE),2.7%),IF(A573="Renewal",100%,0%))</f>
        <v>2.7000000000000003E-2</v>
      </c>
      <c r="K573" s="2" t="s">
        <v>22</v>
      </c>
      <c r="L573" s="2">
        <v>376</v>
      </c>
      <c r="M573" s="2" t="s">
        <v>23</v>
      </c>
      <c r="N573" s="2" t="s">
        <v>24</v>
      </c>
      <c r="O573" s="4">
        <v>285648</v>
      </c>
      <c r="P573" s="4">
        <v>2873</v>
      </c>
      <c r="Q573" s="4">
        <v>97120</v>
      </c>
      <c r="R573" s="4">
        <v>382768</v>
      </c>
      <c r="S573" s="5">
        <v>0.4</v>
      </c>
      <c r="T573" s="4">
        <v>153107</v>
      </c>
      <c r="U573" s="4">
        <v>535875</v>
      </c>
      <c r="V573" s="6">
        <f t="shared" si="16"/>
        <v>14468.625000000002</v>
      </c>
      <c r="W573" s="6">
        <f t="shared" si="17"/>
        <v>521406.375</v>
      </c>
    </row>
    <row r="574" spans="1:23" x14ac:dyDescent="0.3">
      <c r="A574" s="2" t="s">
        <v>21</v>
      </c>
      <c r="B574" s="2">
        <v>16.021999999999998</v>
      </c>
      <c r="C574" s="2">
        <v>2000282073</v>
      </c>
      <c r="D574" s="2">
        <v>63.6</v>
      </c>
      <c r="E574" s="2"/>
      <c r="F574" s="2">
        <v>300</v>
      </c>
      <c r="G574" s="2">
        <v>600</v>
      </c>
      <c r="H574" s="2"/>
      <c r="I574" s="2"/>
      <c r="J574" s="3">
        <f>IF(A574="Upgrade",IF(OR(H574=4,H574=5),VLOOKUP(I574,'Renewal Rates'!$A$22:$B$27,2,FALSE),2.7%),IF(A574="Renewal",100%,0%))</f>
        <v>2.7000000000000003E-2</v>
      </c>
      <c r="K574" s="2" t="s">
        <v>22</v>
      </c>
      <c r="L574" s="2">
        <v>376</v>
      </c>
      <c r="M574" s="2" t="s">
        <v>23</v>
      </c>
      <c r="N574" s="2" t="s">
        <v>24</v>
      </c>
      <c r="O574" s="4">
        <v>224788</v>
      </c>
      <c r="P574" s="4">
        <v>3537</v>
      </c>
      <c r="Q574" s="4">
        <v>76428</v>
      </c>
      <c r="R574" s="4">
        <v>301216</v>
      </c>
      <c r="S574" s="5">
        <v>0.4</v>
      </c>
      <c r="T574" s="4">
        <v>120486</v>
      </c>
      <c r="U574" s="4">
        <v>421702</v>
      </c>
      <c r="V574" s="6">
        <f t="shared" si="16"/>
        <v>11385.954000000002</v>
      </c>
      <c r="W574" s="6">
        <f t="shared" si="17"/>
        <v>410316.04599999997</v>
      </c>
    </row>
    <row r="575" spans="1:23" x14ac:dyDescent="0.3">
      <c r="A575" s="2" t="s">
        <v>21</v>
      </c>
      <c r="B575" s="2">
        <v>16.021000000000001</v>
      </c>
      <c r="C575" s="2">
        <v>2000740629</v>
      </c>
      <c r="D575" s="2">
        <v>52.6</v>
      </c>
      <c r="E575" s="2"/>
      <c r="F575" s="2">
        <v>300</v>
      </c>
      <c r="G575" s="2">
        <v>525</v>
      </c>
      <c r="H575" s="2"/>
      <c r="I575" s="2"/>
      <c r="J575" s="3">
        <f>IF(A575="Upgrade",IF(OR(H575=4,H575=5),VLOOKUP(I575,'Renewal Rates'!$A$22:$B$27,2,FALSE),2.7%),IF(A575="Renewal",100%,0%))</f>
        <v>2.7000000000000003E-2</v>
      </c>
      <c r="K575" s="2" t="s">
        <v>22</v>
      </c>
      <c r="L575" s="2">
        <v>376</v>
      </c>
      <c r="M575" s="2" t="s">
        <v>23</v>
      </c>
      <c r="N575" s="2" t="s">
        <v>24</v>
      </c>
      <c r="O575" s="4">
        <v>186472</v>
      </c>
      <c r="P575" s="4">
        <v>3545</v>
      </c>
      <c r="Q575" s="4">
        <v>63400</v>
      </c>
      <c r="R575" s="4">
        <v>249872</v>
      </c>
      <c r="S575" s="5">
        <v>0.4</v>
      </c>
      <c r="T575" s="4">
        <v>99949</v>
      </c>
      <c r="U575" s="4">
        <v>349821</v>
      </c>
      <c r="V575" s="6">
        <f t="shared" si="16"/>
        <v>9445.1670000000013</v>
      </c>
      <c r="W575" s="6">
        <f t="shared" si="17"/>
        <v>340375.83299999998</v>
      </c>
    </row>
    <row r="576" spans="1:23" x14ac:dyDescent="0.3">
      <c r="A576" s="2" t="s">
        <v>21</v>
      </c>
      <c r="B576" s="2">
        <v>16.021000000000001</v>
      </c>
      <c r="C576" s="2">
        <v>2000809494</v>
      </c>
      <c r="D576" s="2">
        <v>7.3</v>
      </c>
      <c r="E576" s="2"/>
      <c r="F576" s="2">
        <v>300</v>
      </c>
      <c r="G576" s="2">
        <v>525</v>
      </c>
      <c r="H576" s="2"/>
      <c r="I576" s="2"/>
      <c r="J576" s="3">
        <f>IF(A576="Upgrade",IF(OR(H576=4,H576=5),VLOOKUP(I576,'Renewal Rates'!$A$22:$B$27,2,FALSE),2.7%),IF(A576="Renewal",100%,0%))</f>
        <v>2.7000000000000003E-2</v>
      </c>
      <c r="K576" s="2" t="s">
        <v>22</v>
      </c>
      <c r="L576" s="2">
        <v>376</v>
      </c>
      <c r="M576" s="2" t="s">
        <v>23</v>
      </c>
      <c r="N576" s="2" t="s">
        <v>24</v>
      </c>
      <c r="O576" s="4">
        <v>50291</v>
      </c>
      <c r="P576" s="4">
        <v>6897</v>
      </c>
      <c r="Q576" s="4">
        <v>17099</v>
      </c>
      <c r="R576" s="4">
        <v>67390</v>
      </c>
      <c r="S576" s="5">
        <v>0.4</v>
      </c>
      <c r="T576" s="4">
        <v>26956</v>
      </c>
      <c r="U576" s="4">
        <v>94346</v>
      </c>
      <c r="V576" s="6">
        <f t="shared" si="16"/>
        <v>2547.3420000000001</v>
      </c>
      <c r="W576" s="6">
        <f t="shared" si="17"/>
        <v>91798.657999999996</v>
      </c>
    </row>
    <row r="577" spans="1:23" x14ac:dyDescent="0.3">
      <c r="A577" s="2" t="s">
        <v>21</v>
      </c>
      <c r="B577" s="2">
        <v>16.02</v>
      </c>
      <c r="C577" s="2">
        <v>2000681370</v>
      </c>
      <c r="D577" s="2">
        <v>60.2</v>
      </c>
      <c r="E577" s="2"/>
      <c r="F577" s="2">
        <v>300</v>
      </c>
      <c r="G577" s="2">
        <v>525</v>
      </c>
      <c r="H577" s="2"/>
      <c r="I577" s="2"/>
      <c r="J577" s="3">
        <f>IF(A577="Upgrade",IF(OR(H577=4,H577=5),VLOOKUP(I577,'Renewal Rates'!$A$22:$B$27,2,FALSE),2.7%),IF(A577="Renewal",100%,0%))</f>
        <v>2.7000000000000003E-2</v>
      </c>
      <c r="K577" s="2" t="s">
        <v>22</v>
      </c>
      <c r="L577" s="2">
        <v>367</v>
      </c>
      <c r="M577" s="2" t="s">
        <v>23</v>
      </c>
      <c r="N577" s="2" t="s">
        <v>24</v>
      </c>
      <c r="O577" s="4">
        <v>209440</v>
      </c>
      <c r="P577" s="4">
        <v>3482</v>
      </c>
      <c r="Q577" s="4">
        <v>71210</v>
      </c>
      <c r="R577" s="4">
        <v>280650</v>
      </c>
      <c r="S577" s="5">
        <v>0.4</v>
      </c>
      <c r="T577" s="4">
        <v>112260</v>
      </c>
      <c r="U577" s="4">
        <v>392910</v>
      </c>
      <c r="V577" s="6">
        <f t="shared" si="16"/>
        <v>10608.570000000002</v>
      </c>
      <c r="W577" s="6">
        <f t="shared" si="17"/>
        <v>382301.43</v>
      </c>
    </row>
    <row r="578" spans="1:23" x14ac:dyDescent="0.3">
      <c r="A578" s="2" t="s">
        <v>21</v>
      </c>
      <c r="B578" s="2">
        <v>16.02</v>
      </c>
      <c r="C578" s="2">
        <v>2000790779</v>
      </c>
      <c r="D578" s="2">
        <v>53.2</v>
      </c>
      <c r="E578" s="2"/>
      <c r="F578" s="2">
        <v>300</v>
      </c>
      <c r="G578" s="2">
        <v>525</v>
      </c>
      <c r="H578" s="2"/>
      <c r="I578" s="2"/>
      <c r="J578" s="3">
        <f>IF(A578="Upgrade",IF(OR(H578=4,H578=5),VLOOKUP(I578,'Renewal Rates'!$A$22:$B$27,2,FALSE),2.7%),IF(A578="Renewal",100%,0%))</f>
        <v>2.7000000000000003E-2</v>
      </c>
      <c r="K578" s="2" t="s">
        <v>22</v>
      </c>
      <c r="L578" s="2">
        <v>367</v>
      </c>
      <c r="M578" s="2" t="s">
        <v>23</v>
      </c>
      <c r="N578" s="2" t="s">
        <v>24</v>
      </c>
      <c r="O578" s="4">
        <v>203344</v>
      </c>
      <c r="P578" s="4">
        <v>3824</v>
      </c>
      <c r="Q578" s="4">
        <v>69137</v>
      </c>
      <c r="R578" s="4">
        <v>272482</v>
      </c>
      <c r="S578" s="5">
        <v>0.4</v>
      </c>
      <c r="T578" s="4">
        <v>108993</v>
      </c>
      <c r="U578" s="4">
        <v>381474</v>
      </c>
      <c r="V578" s="6">
        <f t="shared" si="16"/>
        <v>10299.798000000001</v>
      </c>
      <c r="W578" s="6">
        <f t="shared" si="17"/>
        <v>371174.20199999999</v>
      </c>
    </row>
    <row r="579" spans="1:23" x14ac:dyDescent="0.3">
      <c r="A579" s="2" t="s">
        <v>21</v>
      </c>
      <c r="B579" s="2">
        <v>16.018999999999998</v>
      </c>
      <c r="C579" s="2">
        <v>2000424297</v>
      </c>
      <c r="D579" s="2">
        <v>88.7</v>
      </c>
      <c r="E579" s="2"/>
      <c r="F579" s="2">
        <v>300</v>
      </c>
      <c r="G579" s="2">
        <v>300</v>
      </c>
      <c r="H579" s="2"/>
      <c r="I579" s="2"/>
      <c r="J579" s="3">
        <f>IF(A579="Upgrade",IF(OR(H579=4,H579=5),VLOOKUP(I579,'Renewal Rates'!$A$22:$B$27,2,FALSE),2.7%),IF(A579="Renewal",100%,0%))</f>
        <v>2.7000000000000003E-2</v>
      </c>
      <c r="K579" s="2" t="s">
        <v>22</v>
      </c>
      <c r="L579" s="2">
        <v>367</v>
      </c>
      <c r="M579" s="2" t="s">
        <v>23</v>
      </c>
      <c r="N579" s="2" t="s">
        <v>24</v>
      </c>
      <c r="O579" s="4">
        <v>169169</v>
      </c>
      <c r="P579" s="4">
        <v>1908</v>
      </c>
      <c r="Q579" s="4">
        <v>57518</v>
      </c>
      <c r="R579" s="4">
        <v>226687</v>
      </c>
      <c r="S579" s="5">
        <v>0.4</v>
      </c>
      <c r="T579" s="4">
        <v>90675</v>
      </c>
      <c r="U579" s="4">
        <v>317362</v>
      </c>
      <c r="V579" s="6">
        <f t="shared" ref="V579:V642" si="18">J579*U579</f>
        <v>8568.7740000000013</v>
      </c>
      <c r="W579" s="6">
        <f t="shared" ref="W579:W642" si="19">U579-V579</f>
        <v>308793.22600000002</v>
      </c>
    </row>
    <row r="580" spans="1:23" x14ac:dyDescent="0.3">
      <c r="A580" s="2" t="s">
        <v>25</v>
      </c>
      <c r="B580" s="2">
        <v>17.009</v>
      </c>
      <c r="C580" s="2"/>
      <c r="D580" s="2"/>
      <c r="E580" s="2">
        <v>94.1</v>
      </c>
      <c r="F580" s="2"/>
      <c r="G580" s="2">
        <v>450</v>
      </c>
      <c r="H580" s="2"/>
      <c r="I580" s="2"/>
      <c r="J580" s="3">
        <f>IF(A580="Upgrade",IF(OR(H580=4,H580=5),VLOOKUP(I580,'Renewal Rates'!$A$22:$B$27,2,FALSE),2.7%),IF(A580="Renewal",100%,0%))</f>
        <v>0</v>
      </c>
      <c r="K580" s="2" t="s">
        <v>22</v>
      </c>
      <c r="L580" s="2">
        <v>376</v>
      </c>
      <c r="M580" s="2" t="s">
        <v>23</v>
      </c>
      <c r="N580" s="2" t="s">
        <v>24</v>
      </c>
      <c r="O580" s="4">
        <v>263815</v>
      </c>
      <c r="P580" s="4">
        <v>2803</v>
      </c>
      <c r="Q580" s="4">
        <v>89697</v>
      </c>
      <c r="R580" s="4">
        <v>353511</v>
      </c>
      <c r="S580" s="5">
        <v>0.4</v>
      </c>
      <c r="T580" s="4">
        <v>141405</v>
      </c>
      <c r="U580" s="4">
        <v>494916</v>
      </c>
      <c r="V580" s="6">
        <f t="shared" si="18"/>
        <v>0</v>
      </c>
      <c r="W580" s="6">
        <f t="shared" si="19"/>
        <v>494916</v>
      </c>
    </row>
    <row r="581" spans="1:23" x14ac:dyDescent="0.3">
      <c r="A581" s="2" t="s">
        <v>25</v>
      </c>
      <c r="B581" s="2">
        <v>17.004999999999999</v>
      </c>
      <c r="C581" s="2"/>
      <c r="D581" s="2"/>
      <c r="E581" s="2">
        <v>198.9</v>
      </c>
      <c r="F581" s="2"/>
      <c r="G581" s="2">
        <v>750</v>
      </c>
      <c r="H581" s="2"/>
      <c r="I581" s="2"/>
      <c r="J581" s="3">
        <f>IF(A581="Upgrade",IF(OR(H581=4,H581=5),VLOOKUP(I581,'Renewal Rates'!$A$22:$B$27,2,FALSE),2.7%),IF(A581="Renewal",100%,0%))</f>
        <v>0</v>
      </c>
      <c r="K581" s="2" t="s">
        <v>22</v>
      </c>
      <c r="L581" s="2">
        <v>376</v>
      </c>
      <c r="M581" s="2" t="s">
        <v>23</v>
      </c>
      <c r="N581" s="2" t="s">
        <v>24</v>
      </c>
      <c r="O581" s="4">
        <v>805669</v>
      </c>
      <c r="P581" s="4">
        <v>4050</v>
      </c>
      <c r="Q581" s="4">
        <v>273928</v>
      </c>
      <c r="R581" s="4">
        <v>1079597</v>
      </c>
      <c r="S581" s="5">
        <v>0.4</v>
      </c>
      <c r="T581" s="4">
        <v>431839</v>
      </c>
      <c r="U581" s="4">
        <v>1511435</v>
      </c>
      <c r="V581" s="6">
        <f t="shared" si="18"/>
        <v>0</v>
      </c>
      <c r="W581" s="6">
        <f t="shared" si="19"/>
        <v>1511435</v>
      </c>
    </row>
    <row r="582" spans="1:23" x14ac:dyDescent="0.3">
      <c r="A582" s="2" t="s">
        <v>25</v>
      </c>
      <c r="B582" s="2">
        <v>17.004000000000001</v>
      </c>
      <c r="C582" s="2"/>
      <c r="D582" s="2"/>
      <c r="E582" s="2">
        <v>50.9</v>
      </c>
      <c r="F582" s="2"/>
      <c r="G582" s="2">
        <v>450</v>
      </c>
      <c r="H582" s="2"/>
      <c r="I582" s="2"/>
      <c r="J582" s="3">
        <f>IF(A582="Upgrade",IF(OR(H582=4,H582=5),VLOOKUP(I582,'Renewal Rates'!$A$22:$B$27,2,FALSE),2.7%),IF(A582="Renewal",100%,0%))</f>
        <v>0</v>
      </c>
      <c r="K582" s="2" t="s">
        <v>22</v>
      </c>
      <c r="L582" s="2">
        <v>376</v>
      </c>
      <c r="M582" s="2" t="s">
        <v>23</v>
      </c>
      <c r="N582" s="2" t="s">
        <v>24</v>
      </c>
      <c r="O582" s="4">
        <v>174736</v>
      </c>
      <c r="P582" s="4">
        <v>3430</v>
      </c>
      <c r="Q582" s="4">
        <v>59410</v>
      </c>
      <c r="R582" s="4">
        <v>234147</v>
      </c>
      <c r="S582" s="5">
        <v>0.4</v>
      </c>
      <c r="T582" s="4">
        <v>93659</v>
      </c>
      <c r="U582" s="4">
        <v>327805</v>
      </c>
      <c r="V582" s="6">
        <f t="shared" si="18"/>
        <v>0</v>
      </c>
      <c r="W582" s="6">
        <f t="shared" si="19"/>
        <v>327805</v>
      </c>
    </row>
    <row r="583" spans="1:23" x14ac:dyDescent="0.3">
      <c r="A583" s="2" t="s">
        <v>25</v>
      </c>
      <c r="B583" s="2">
        <v>17.003</v>
      </c>
      <c r="C583" s="2"/>
      <c r="D583" s="2"/>
      <c r="E583" s="2">
        <v>73.2</v>
      </c>
      <c r="F583" s="2"/>
      <c r="G583" s="2">
        <v>525</v>
      </c>
      <c r="H583" s="2"/>
      <c r="I583" s="2"/>
      <c r="J583" s="3">
        <f>IF(A583="Upgrade",IF(OR(H583=4,H583=5),VLOOKUP(I583,'Renewal Rates'!$A$22:$B$27,2,FALSE),2.7%),IF(A583="Renewal",100%,0%))</f>
        <v>0</v>
      </c>
      <c r="K583" s="2" t="s">
        <v>22</v>
      </c>
      <c r="L583" s="2">
        <v>376</v>
      </c>
      <c r="M583" s="2" t="s">
        <v>23</v>
      </c>
      <c r="N583" s="2" t="s">
        <v>24</v>
      </c>
      <c r="O583" s="4">
        <v>223862</v>
      </c>
      <c r="P583" s="4">
        <v>3059</v>
      </c>
      <c r="Q583" s="4">
        <v>76113</v>
      </c>
      <c r="R583" s="4">
        <v>299975</v>
      </c>
      <c r="S583" s="5">
        <v>0.4</v>
      </c>
      <c r="T583" s="4">
        <v>119990</v>
      </c>
      <c r="U583" s="4">
        <v>419965</v>
      </c>
      <c r="V583" s="6">
        <f t="shared" si="18"/>
        <v>0</v>
      </c>
      <c r="W583" s="6">
        <f t="shared" si="19"/>
        <v>419965</v>
      </c>
    </row>
    <row r="584" spans="1:23" x14ac:dyDescent="0.3">
      <c r="A584" s="2" t="s">
        <v>21</v>
      </c>
      <c r="B584" s="2" t="s">
        <v>38</v>
      </c>
      <c r="C584" s="2">
        <v>2000023579</v>
      </c>
      <c r="D584" s="2">
        <v>7.1</v>
      </c>
      <c r="E584" s="2"/>
      <c r="F584" s="2">
        <v>1800</v>
      </c>
      <c r="G584" s="2">
        <v>2400</v>
      </c>
      <c r="H584" s="2">
        <v>5</v>
      </c>
      <c r="I584" s="2" t="s">
        <v>27</v>
      </c>
      <c r="J584" s="3">
        <f>IF(A584="Upgrade",IF(OR(H584=4,H584=5),VLOOKUP(I584,'Renewal Rates'!$A$22:$B$27,2,FALSE),2.7%),IF(A584="Renewal",100%,0%))</f>
        <v>0.116578</v>
      </c>
      <c r="K584" s="2" t="s">
        <v>31</v>
      </c>
      <c r="L584" s="2">
        <v>376</v>
      </c>
      <c r="M584" s="2" t="s">
        <v>23</v>
      </c>
      <c r="N584" s="2" t="s">
        <v>24</v>
      </c>
      <c r="O584" s="4">
        <v>124214</v>
      </c>
      <c r="P584" s="4">
        <v>17466</v>
      </c>
      <c r="Q584" s="4">
        <v>42233</v>
      </c>
      <c r="R584" s="4">
        <v>166446</v>
      </c>
      <c r="S584" s="5">
        <v>0.4</v>
      </c>
      <c r="T584" s="4">
        <v>66578</v>
      </c>
      <c r="U584" s="4">
        <v>233025</v>
      </c>
      <c r="V584" s="6">
        <f t="shared" si="18"/>
        <v>27165.588449999999</v>
      </c>
      <c r="W584" s="6">
        <f t="shared" si="19"/>
        <v>205859.41154999999</v>
      </c>
    </row>
    <row r="585" spans="1:23" x14ac:dyDescent="0.3">
      <c r="A585" s="2" t="s">
        <v>21</v>
      </c>
      <c r="B585" s="2">
        <v>17.035</v>
      </c>
      <c r="C585" s="2">
        <v>2000942073</v>
      </c>
      <c r="D585" s="2">
        <v>3.5</v>
      </c>
      <c r="E585" s="2"/>
      <c r="F585" s="2">
        <v>1800</v>
      </c>
      <c r="G585" s="2">
        <v>2400</v>
      </c>
      <c r="H585" s="2">
        <v>4</v>
      </c>
      <c r="I585" s="2" t="s">
        <v>27</v>
      </c>
      <c r="J585" s="3">
        <f>IF(A585="Upgrade",IF(OR(H585=4,H585=5),VLOOKUP(I585,'Renewal Rates'!$A$22:$B$27,2,FALSE),2.7%),IF(A585="Renewal",100%,0%))</f>
        <v>0.116578</v>
      </c>
      <c r="K585" s="2" t="s">
        <v>31</v>
      </c>
      <c r="L585" s="2">
        <v>376</v>
      </c>
      <c r="M585" s="2" t="s">
        <v>23</v>
      </c>
      <c r="N585" s="2" t="s">
        <v>24</v>
      </c>
      <c r="O585" s="4">
        <v>60264</v>
      </c>
      <c r="P585" s="4">
        <v>17010</v>
      </c>
      <c r="Q585" s="4">
        <v>20490</v>
      </c>
      <c r="R585" s="4">
        <v>80753</v>
      </c>
      <c r="S585" s="5">
        <v>0.4</v>
      </c>
      <c r="T585" s="4">
        <v>32301</v>
      </c>
      <c r="U585" s="4">
        <v>113055</v>
      </c>
      <c r="V585" s="6">
        <f t="shared" si="18"/>
        <v>13179.72579</v>
      </c>
      <c r="W585" s="6">
        <f t="shared" si="19"/>
        <v>99875.274210000003</v>
      </c>
    </row>
    <row r="586" spans="1:23" x14ac:dyDescent="0.3">
      <c r="A586" s="2" t="s">
        <v>21</v>
      </c>
      <c r="B586" s="2">
        <v>17.035</v>
      </c>
      <c r="C586" s="2">
        <v>2000535935</v>
      </c>
      <c r="D586" s="2">
        <v>12.7</v>
      </c>
      <c r="E586" s="2"/>
      <c r="F586" s="2">
        <v>1800</v>
      </c>
      <c r="G586" s="2">
        <v>2400</v>
      </c>
      <c r="H586" s="2">
        <v>4</v>
      </c>
      <c r="I586" s="2" t="s">
        <v>27</v>
      </c>
      <c r="J586" s="3">
        <f>IF(A586="Upgrade",IF(OR(H586=4,H586=5),VLOOKUP(I586,'Renewal Rates'!$A$22:$B$27,2,FALSE),2.7%),IF(A586="Renewal",100%,0%))</f>
        <v>0.116578</v>
      </c>
      <c r="K586" s="2" t="s">
        <v>31</v>
      </c>
      <c r="L586" s="2">
        <v>376</v>
      </c>
      <c r="M586" s="2" t="s">
        <v>23</v>
      </c>
      <c r="N586" s="2" t="s">
        <v>24</v>
      </c>
      <c r="O586" s="4">
        <v>198783</v>
      </c>
      <c r="P586" s="4">
        <v>15627</v>
      </c>
      <c r="Q586" s="4">
        <v>67586</v>
      </c>
      <c r="R586" s="4">
        <v>266369</v>
      </c>
      <c r="S586" s="5">
        <v>0.4</v>
      </c>
      <c r="T586" s="4">
        <v>106548</v>
      </c>
      <c r="U586" s="4">
        <v>372916</v>
      </c>
      <c r="V586" s="6">
        <f t="shared" si="18"/>
        <v>43473.801447999998</v>
      </c>
      <c r="W586" s="6">
        <f t="shared" si="19"/>
        <v>329442.19855199999</v>
      </c>
    </row>
    <row r="587" spans="1:23" x14ac:dyDescent="0.3">
      <c r="A587" s="2" t="s">
        <v>21</v>
      </c>
      <c r="B587" s="2">
        <v>17.035</v>
      </c>
      <c r="C587" s="2">
        <v>2000748564</v>
      </c>
      <c r="D587" s="2">
        <v>13.8</v>
      </c>
      <c r="E587" s="2"/>
      <c r="F587" s="2">
        <v>1800</v>
      </c>
      <c r="G587" s="2">
        <v>2400</v>
      </c>
      <c r="H587" s="2">
        <v>5</v>
      </c>
      <c r="I587" s="2" t="s">
        <v>27</v>
      </c>
      <c r="J587" s="3">
        <f>IF(A587="Upgrade",IF(OR(H587=4,H587=5),VLOOKUP(I587,'Renewal Rates'!$A$22:$B$27,2,FALSE),2.7%),IF(A587="Renewal",100%,0%))</f>
        <v>0.116578</v>
      </c>
      <c r="K587" s="2" t="s">
        <v>31</v>
      </c>
      <c r="L587" s="2">
        <v>376</v>
      </c>
      <c r="M587" s="2" t="s">
        <v>23</v>
      </c>
      <c r="N587" s="2" t="s">
        <v>24</v>
      </c>
      <c r="O587" s="4">
        <v>204591</v>
      </c>
      <c r="P587" s="4">
        <v>14786</v>
      </c>
      <c r="Q587" s="4">
        <v>69561</v>
      </c>
      <c r="R587" s="4">
        <v>274152</v>
      </c>
      <c r="S587" s="5">
        <v>0.4</v>
      </c>
      <c r="T587" s="4">
        <v>109661</v>
      </c>
      <c r="U587" s="4">
        <v>383813</v>
      </c>
      <c r="V587" s="6">
        <f t="shared" si="18"/>
        <v>44744.151914000002</v>
      </c>
      <c r="W587" s="6">
        <f t="shared" si="19"/>
        <v>339068.84808600001</v>
      </c>
    </row>
    <row r="588" spans="1:23" x14ac:dyDescent="0.3">
      <c r="A588" s="2" t="s">
        <v>21</v>
      </c>
      <c r="B588" s="2">
        <v>17.035</v>
      </c>
      <c r="C588" s="2">
        <v>2000183940</v>
      </c>
      <c r="D588" s="2">
        <v>109.1</v>
      </c>
      <c r="E588" s="2"/>
      <c r="F588" s="2">
        <v>1800</v>
      </c>
      <c r="G588" s="2">
        <v>2400</v>
      </c>
      <c r="H588" s="2">
        <v>5</v>
      </c>
      <c r="I588" s="2">
        <v>3</v>
      </c>
      <c r="J588" s="3">
        <f>IF(A588="Upgrade",IF(OR(H588=4,H588=5),VLOOKUP(I588,'Renewal Rates'!$A$22:$B$27,2,FALSE),2.7%),IF(A588="Renewal",100%,0%))</f>
        <v>0.21</v>
      </c>
      <c r="K588" s="2" t="s">
        <v>31</v>
      </c>
      <c r="L588" s="2">
        <v>376</v>
      </c>
      <c r="M588" s="2" t="s">
        <v>23</v>
      </c>
      <c r="N588" s="2" t="s">
        <v>24</v>
      </c>
      <c r="O588" s="4">
        <v>1634996</v>
      </c>
      <c r="P588" s="4">
        <v>14985</v>
      </c>
      <c r="Q588" s="4">
        <v>555899</v>
      </c>
      <c r="R588" s="4">
        <v>2190894</v>
      </c>
      <c r="S588" s="5">
        <v>0.4</v>
      </c>
      <c r="T588" s="4">
        <v>876358</v>
      </c>
      <c r="U588" s="4">
        <v>3067252</v>
      </c>
      <c r="V588" s="6">
        <f t="shared" si="18"/>
        <v>644122.91999999993</v>
      </c>
      <c r="W588" s="6">
        <f t="shared" si="19"/>
        <v>2423129.08</v>
      </c>
    </row>
    <row r="589" spans="1:23" x14ac:dyDescent="0.3">
      <c r="A589" s="2" t="s">
        <v>21</v>
      </c>
      <c r="B589" s="2">
        <v>17.036999999999999</v>
      </c>
      <c r="C589" s="2">
        <v>2000931586</v>
      </c>
      <c r="D589" s="2">
        <v>159.19999999999999</v>
      </c>
      <c r="E589" s="2"/>
      <c r="F589" s="2">
        <v>1800</v>
      </c>
      <c r="G589" s="2">
        <v>2400</v>
      </c>
      <c r="H589" s="2">
        <v>4</v>
      </c>
      <c r="I589" s="2">
        <v>3</v>
      </c>
      <c r="J589" s="3">
        <f>IF(A589="Upgrade",IF(OR(H589=4,H589=5),VLOOKUP(I589,'Renewal Rates'!$A$22:$B$27,2,FALSE),2.7%),IF(A589="Renewal",100%,0%))</f>
        <v>0.21</v>
      </c>
      <c r="K589" s="2" t="s">
        <v>31</v>
      </c>
      <c r="L589" s="2">
        <v>376</v>
      </c>
      <c r="M589" s="2" t="s">
        <v>23</v>
      </c>
      <c r="N589" s="2" t="s">
        <v>24</v>
      </c>
      <c r="O589" s="4">
        <v>2363055</v>
      </c>
      <c r="P589" s="4">
        <v>14842</v>
      </c>
      <c r="Q589" s="4">
        <v>803439</v>
      </c>
      <c r="R589" s="4">
        <v>3166494</v>
      </c>
      <c r="S589" s="5">
        <v>0.4</v>
      </c>
      <c r="T589" s="4">
        <v>1266598</v>
      </c>
      <c r="U589" s="4">
        <v>4433091</v>
      </c>
      <c r="V589" s="6">
        <f t="shared" si="18"/>
        <v>930949.11</v>
      </c>
      <c r="W589" s="6">
        <f t="shared" si="19"/>
        <v>3502141.89</v>
      </c>
    </row>
    <row r="590" spans="1:23" x14ac:dyDescent="0.3">
      <c r="A590" s="2" t="s">
        <v>21</v>
      </c>
      <c r="B590" s="2">
        <v>17.036000000000001</v>
      </c>
      <c r="C590" s="2">
        <v>2000374905</v>
      </c>
      <c r="D590" s="2">
        <v>69</v>
      </c>
      <c r="E590" s="2"/>
      <c r="F590" s="2">
        <v>975</v>
      </c>
      <c r="G590" s="2">
        <v>1650</v>
      </c>
      <c r="H590" s="2"/>
      <c r="I590" s="2"/>
      <c r="J590" s="3">
        <f>IF(A590="Upgrade",IF(OR(H590=4,H590=5),VLOOKUP(I590,'Renewal Rates'!$A$22:$B$27,2,FALSE),2.7%),IF(A590="Renewal",100%,0%))</f>
        <v>2.7000000000000003E-2</v>
      </c>
      <c r="K590" s="2" t="s">
        <v>31</v>
      </c>
      <c r="L590" s="2">
        <v>376</v>
      </c>
      <c r="M590" s="2" t="s">
        <v>23</v>
      </c>
      <c r="N590" s="2" t="s">
        <v>24</v>
      </c>
      <c r="O590" s="4">
        <v>639435</v>
      </c>
      <c r="P590" s="4">
        <v>9264</v>
      </c>
      <c r="Q590" s="4">
        <v>217408</v>
      </c>
      <c r="R590" s="4">
        <v>856843</v>
      </c>
      <c r="S590" s="5">
        <v>0.4</v>
      </c>
      <c r="T590" s="4">
        <v>342737</v>
      </c>
      <c r="U590" s="4">
        <v>1199581</v>
      </c>
      <c r="V590" s="6">
        <f t="shared" si="18"/>
        <v>32388.687000000005</v>
      </c>
      <c r="W590" s="6">
        <f t="shared" si="19"/>
        <v>1167192.3130000001</v>
      </c>
    </row>
    <row r="591" spans="1:23" x14ac:dyDescent="0.3">
      <c r="A591" s="2" t="s">
        <v>21</v>
      </c>
      <c r="B591" s="2">
        <v>17.036000000000001</v>
      </c>
      <c r="C591" s="2">
        <v>2000167592</v>
      </c>
      <c r="D591" s="2">
        <v>8.3000000000000007</v>
      </c>
      <c r="E591" s="2"/>
      <c r="F591" s="2">
        <v>975</v>
      </c>
      <c r="G591" s="2">
        <v>1650</v>
      </c>
      <c r="H591" s="2"/>
      <c r="I591" s="2"/>
      <c r="J591" s="3">
        <f>IF(A591="Upgrade",IF(OR(H591=4,H591=5),VLOOKUP(I591,'Renewal Rates'!$A$22:$B$27,2,FALSE),2.7%),IF(A591="Renewal",100%,0%))</f>
        <v>2.7000000000000003E-2</v>
      </c>
      <c r="K591" s="2" t="s">
        <v>31</v>
      </c>
      <c r="L591" s="2">
        <v>376</v>
      </c>
      <c r="M591" s="2" t="s">
        <v>23</v>
      </c>
      <c r="N591" s="2" t="s">
        <v>24</v>
      </c>
      <c r="O591" s="4">
        <v>97459</v>
      </c>
      <c r="P591" s="4">
        <v>11704</v>
      </c>
      <c r="Q591" s="4">
        <v>33136</v>
      </c>
      <c r="R591" s="4">
        <v>130596</v>
      </c>
      <c r="S591" s="5">
        <v>0.4</v>
      </c>
      <c r="T591" s="4">
        <v>52238</v>
      </c>
      <c r="U591" s="4">
        <v>182834</v>
      </c>
      <c r="V591" s="6">
        <f t="shared" si="18"/>
        <v>4936.5180000000009</v>
      </c>
      <c r="W591" s="6">
        <f t="shared" si="19"/>
        <v>177897.48199999999</v>
      </c>
    </row>
    <row r="592" spans="1:23" x14ac:dyDescent="0.3">
      <c r="A592" s="2" t="s">
        <v>21</v>
      </c>
      <c r="B592" s="2">
        <v>17.03</v>
      </c>
      <c r="C592" s="2">
        <v>2000921513</v>
      </c>
      <c r="D592" s="2">
        <v>29.4</v>
      </c>
      <c r="E592" s="2"/>
      <c r="F592" s="2">
        <v>450</v>
      </c>
      <c r="G592" s="2">
        <v>675</v>
      </c>
      <c r="H592" s="2">
        <v>4</v>
      </c>
      <c r="I592" s="2">
        <v>3</v>
      </c>
      <c r="J592" s="3">
        <f>IF(A592="Upgrade",IF(OR(H592=4,H592=5),VLOOKUP(I592,'Renewal Rates'!$A$22:$B$27,2,FALSE),2.7%),IF(A592="Renewal",100%,0%))</f>
        <v>0.21</v>
      </c>
      <c r="K592" s="2" t="s">
        <v>31</v>
      </c>
      <c r="L592" s="2">
        <v>376</v>
      </c>
      <c r="M592" s="2" t="s">
        <v>23</v>
      </c>
      <c r="N592" s="2" t="s">
        <v>24</v>
      </c>
      <c r="O592" s="4">
        <v>124088</v>
      </c>
      <c r="P592" s="4">
        <v>4218</v>
      </c>
      <c r="Q592" s="4">
        <v>42190</v>
      </c>
      <c r="R592" s="4">
        <v>166278</v>
      </c>
      <c r="S592" s="5">
        <v>0.4</v>
      </c>
      <c r="T592" s="4">
        <v>66511</v>
      </c>
      <c r="U592" s="4">
        <v>232789</v>
      </c>
      <c r="V592" s="6">
        <f t="shared" si="18"/>
        <v>48885.689999999995</v>
      </c>
      <c r="W592" s="6">
        <f t="shared" si="19"/>
        <v>183903.31</v>
      </c>
    </row>
    <row r="593" spans="1:23" x14ac:dyDescent="0.3">
      <c r="A593" s="2" t="s">
        <v>21</v>
      </c>
      <c r="B593" s="2">
        <v>17.03</v>
      </c>
      <c r="C593" s="2">
        <v>2000694125</v>
      </c>
      <c r="D593" s="2">
        <v>44.3</v>
      </c>
      <c r="E593" s="2"/>
      <c r="F593" s="2">
        <v>450</v>
      </c>
      <c r="G593" s="2">
        <v>675</v>
      </c>
      <c r="H593" s="2">
        <v>4</v>
      </c>
      <c r="I593" s="2">
        <v>2</v>
      </c>
      <c r="J593" s="3">
        <f>IF(A593="Upgrade",IF(OR(H593=4,H593=5),VLOOKUP(I593,'Renewal Rates'!$A$22:$B$27,2,FALSE),2.7%),IF(A593="Renewal",100%,0%))</f>
        <v>0</v>
      </c>
      <c r="K593" s="2" t="s">
        <v>31</v>
      </c>
      <c r="L593" s="2">
        <v>376</v>
      </c>
      <c r="M593" s="2" t="s">
        <v>23</v>
      </c>
      <c r="N593" s="2" t="s">
        <v>24</v>
      </c>
      <c r="O593" s="4">
        <v>204158</v>
      </c>
      <c r="P593" s="4">
        <v>4609</v>
      </c>
      <c r="Q593" s="4">
        <v>69414</v>
      </c>
      <c r="R593" s="4">
        <v>273572</v>
      </c>
      <c r="S593" s="5">
        <v>0.4</v>
      </c>
      <c r="T593" s="4">
        <v>109429</v>
      </c>
      <c r="U593" s="4">
        <v>383000</v>
      </c>
      <c r="V593" s="6">
        <f t="shared" si="18"/>
        <v>0</v>
      </c>
      <c r="W593" s="6">
        <f t="shared" si="19"/>
        <v>383000</v>
      </c>
    </row>
    <row r="594" spans="1:23" x14ac:dyDescent="0.3">
      <c r="A594" s="2" t="s">
        <v>21</v>
      </c>
      <c r="B594" s="2">
        <v>17.03</v>
      </c>
      <c r="C594" s="2">
        <v>2000231612</v>
      </c>
      <c r="D594" s="2">
        <v>71.599999999999994</v>
      </c>
      <c r="E594" s="2"/>
      <c r="F594" s="2">
        <v>375</v>
      </c>
      <c r="G594" s="2">
        <v>675</v>
      </c>
      <c r="H594" s="2"/>
      <c r="I594" s="2"/>
      <c r="J594" s="3">
        <f>IF(A594="Upgrade",IF(OR(H594=4,H594=5),VLOOKUP(I594,'Renewal Rates'!$A$22:$B$27,2,FALSE),2.7%),IF(A594="Renewal",100%,0%))</f>
        <v>2.7000000000000003E-2</v>
      </c>
      <c r="K594" s="2" t="s">
        <v>31</v>
      </c>
      <c r="L594" s="2">
        <v>376</v>
      </c>
      <c r="M594" s="2" t="s">
        <v>23</v>
      </c>
      <c r="N594" s="2" t="s">
        <v>24</v>
      </c>
      <c r="O594" s="4">
        <v>300708</v>
      </c>
      <c r="P594" s="4">
        <v>4198</v>
      </c>
      <c r="Q594" s="4">
        <v>102241</v>
      </c>
      <c r="R594" s="4">
        <v>402949</v>
      </c>
      <c r="S594" s="5">
        <v>0.4</v>
      </c>
      <c r="T594" s="4">
        <v>161180</v>
      </c>
      <c r="U594" s="4">
        <v>564129</v>
      </c>
      <c r="V594" s="6">
        <f t="shared" si="18"/>
        <v>15231.483000000002</v>
      </c>
      <c r="W594" s="6">
        <f t="shared" si="19"/>
        <v>548897.51699999999</v>
      </c>
    </row>
    <row r="595" spans="1:23" x14ac:dyDescent="0.3">
      <c r="A595" s="2" t="s">
        <v>21</v>
      </c>
      <c r="B595" s="2">
        <v>17.03</v>
      </c>
      <c r="C595" s="2">
        <v>2000310884</v>
      </c>
      <c r="D595" s="2">
        <v>32.5</v>
      </c>
      <c r="E595" s="2"/>
      <c r="F595" s="2">
        <v>375</v>
      </c>
      <c r="G595" s="2">
        <v>675</v>
      </c>
      <c r="H595" s="2"/>
      <c r="I595" s="2"/>
      <c r="J595" s="3">
        <f>IF(A595="Upgrade",IF(OR(H595=4,H595=5),VLOOKUP(I595,'Renewal Rates'!$A$22:$B$27,2,FALSE),2.7%),IF(A595="Renewal",100%,0%))</f>
        <v>2.7000000000000003E-2</v>
      </c>
      <c r="K595" s="2" t="s">
        <v>31</v>
      </c>
      <c r="L595" s="2">
        <v>376</v>
      </c>
      <c r="M595" s="2" t="s">
        <v>23</v>
      </c>
      <c r="N595" s="2" t="s">
        <v>24</v>
      </c>
      <c r="O595" s="4">
        <v>170668</v>
      </c>
      <c r="P595" s="4">
        <v>5244</v>
      </c>
      <c r="Q595" s="4">
        <v>58027</v>
      </c>
      <c r="R595" s="4">
        <v>228695</v>
      </c>
      <c r="S595" s="5">
        <v>0.4</v>
      </c>
      <c r="T595" s="4">
        <v>91478</v>
      </c>
      <c r="U595" s="4">
        <v>320173</v>
      </c>
      <c r="V595" s="6">
        <f t="shared" si="18"/>
        <v>8644.6710000000003</v>
      </c>
      <c r="W595" s="6">
        <f t="shared" si="19"/>
        <v>311528.32900000003</v>
      </c>
    </row>
    <row r="596" spans="1:23" x14ac:dyDescent="0.3">
      <c r="A596" s="2" t="s">
        <v>21</v>
      </c>
      <c r="B596" s="2">
        <v>17.03</v>
      </c>
      <c r="C596" s="2">
        <v>2000594192</v>
      </c>
      <c r="D596" s="2">
        <v>30.5</v>
      </c>
      <c r="E596" s="2"/>
      <c r="F596" s="2">
        <v>375</v>
      </c>
      <c r="G596" s="2">
        <v>675</v>
      </c>
      <c r="H596" s="2"/>
      <c r="I596" s="2"/>
      <c r="J596" s="3">
        <f>IF(A596="Upgrade",IF(OR(H596=4,H596=5),VLOOKUP(I596,'Renewal Rates'!$A$22:$B$27,2,FALSE),2.7%),IF(A596="Renewal",100%,0%))</f>
        <v>2.7000000000000003E-2</v>
      </c>
      <c r="K596" s="2" t="s">
        <v>31</v>
      </c>
      <c r="L596" s="2">
        <v>376</v>
      </c>
      <c r="M596" s="2" t="s">
        <v>23</v>
      </c>
      <c r="N596" s="2" t="s">
        <v>24</v>
      </c>
      <c r="O596" s="4">
        <v>148808</v>
      </c>
      <c r="P596" s="4">
        <v>4875</v>
      </c>
      <c r="Q596" s="4">
        <v>50595</v>
      </c>
      <c r="R596" s="4">
        <v>199403</v>
      </c>
      <c r="S596" s="5">
        <v>0.4</v>
      </c>
      <c r="T596" s="4">
        <v>79761</v>
      </c>
      <c r="U596" s="4">
        <v>279164</v>
      </c>
      <c r="V596" s="6">
        <f t="shared" si="18"/>
        <v>7537.4280000000008</v>
      </c>
      <c r="W596" s="6">
        <f t="shared" si="19"/>
        <v>271626.57199999999</v>
      </c>
    </row>
    <row r="597" spans="1:23" x14ac:dyDescent="0.3">
      <c r="A597" s="2" t="s">
        <v>25</v>
      </c>
      <c r="B597" s="2">
        <v>17.001999999999999</v>
      </c>
      <c r="C597" s="2"/>
      <c r="D597" s="2"/>
      <c r="E597" s="2">
        <v>97.8</v>
      </c>
      <c r="F597" s="2"/>
      <c r="G597" s="2">
        <v>525</v>
      </c>
      <c r="H597" s="2"/>
      <c r="I597" s="2"/>
      <c r="J597" s="3">
        <f>IF(A597="Upgrade",IF(OR(H597=4,H597=5),VLOOKUP(I597,'Renewal Rates'!$A$22:$B$27,2,FALSE),2.7%),IF(A597="Renewal",100%,0%))</f>
        <v>0</v>
      </c>
      <c r="K597" s="2" t="s">
        <v>39</v>
      </c>
      <c r="L597" s="2">
        <v>376</v>
      </c>
      <c r="M597" s="2" t="s">
        <v>23</v>
      </c>
      <c r="N597" s="2" t="s">
        <v>24</v>
      </c>
      <c r="O597" s="4">
        <v>284270</v>
      </c>
      <c r="P597" s="4">
        <v>2906</v>
      </c>
      <c r="Q597" s="4">
        <v>96652</v>
      </c>
      <c r="R597" s="4">
        <v>380922</v>
      </c>
      <c r="S597" s="5">
        <v>0.4</v>
      </c>
      <c r="T597" s="4">
        <v>152369</v>
      </c>
      <c r="U597" s="4">
        <v>533291</v>
      </c>
      <c r="V597" s="6">
        <f t="shared" si="18"/>
        <v>0</v>
      </c>
      <c r="W597" s="6">
        <f t="shared" si="19"/>
        <v>533291</v>
      </c>
    </row>
    <row r="598" spans="1:23" x14ac:dyDescent="0.3">
      <c r="A598" s="2" t="s">
        <v>25</v>
      </c>
      <c r="B598" s="2">
        <v>17.001000000000001</v>
      </c>
      <c r="C598" s="2"/>
      <c r="D598" s="2"/>
      <c r="E598" s="2">
        <v>103.5</v>
      </c>
      <c r="F598" s="2"/>
      <c r="G598" s="2">
        <v>525</v>
      </c>
      <c r="H598" s="2"/>
      <c r="I598" s="2"/>
      <c r="J598" s="3">
        <f>IF(A598="Upgrade",IF(OR(H598=4,H598=5),VLOOKUP(I598,'Renewal Rates'!$A$22:$B$27,2,FALSE),2.7%),IF(A598="Renewal",100%,0%))</f>
        <v>0</v>
      </c>
      <c r="K598" s="2" t="s">
        <v>39</v>
      </c>
      <c r="L598" s="2">
        <v>376</v>
      </c>
      <c r="M598" s="2" t="s">
        <v>23</v>
      </c>
      <c r="N598" s="2" t="s">
        <v>24</v>
      </c>
      <c r="O598" s="4">
        <v>327519</v>
      </c>
      <c r="P598" s="4">
        <v>3165</v>
      </c>
      <c r="Q598" s="4">
        <v>111356</v>
      </c>
      <c r="R598" s="4">
        <v>438875</v>
      </c>
      <c r="S598" s="5">
        <v>0.4</v>
      </c>
      <c r="T598" s="4">
        <v>175550</v>
      </c>
      <c r="U598" s="4">
        <v>614425</v>
      </c>
      <c r="V598" s="6">
        <f t="shared" si="18"/>
        <v>0</v>
      </c>
      <c r="W598" s="6">
        <f t="shared" si="19"/>
        <v>614425</v>
      </c>
    </row>
    <row r="599" spans="1:23" x14ac:dyDescent="0.3">
      <c r="A599" s="2" t="s">
        <v>21</v>
      </c>
      <c r="B599" s="2">
        <v>17.038</v>
      </c>
      <c r="C599" s="2">
        <v>2000762750</v>
      </c>
      <c r="D599" s="2">
        <v>82.8</v>
      </c>
      <c r="E599" s="2"/>
      <c r="F599" s="2">
        <v>975</v>
      </c>
      <c r="G599" s="2">
        <v>1650</v>
      </c>
      <c r="H599" s="2"/>
      <c r="I599" s="2"/>
      <c r="J599" s="3">
        <f>IF(A599="Upgrade",IF(OR(H599=4,H599=5),VLOOKUP(I599,'Renewal Rates'!$A$22:$B$27,2,FALSE),2.7%),IF(A599="Renewal",100%,0%))</f>
        <v>2.7000000000000003E-2</v>
      </c>
      <c r="K599" s="2" t="s">
        <v>22</v>
      </c>
      <c r="L599" s="2">
        <v>376</v>
      </c>
      <c r="M599" s="2" t="s">
        <v>23</v>
      </c>
      <c r="N599" s="2" t="s">
        <v>24</v>
      </c>
      <c r="O599" s="4">
        <v>776904</v>
      </c>
      <c r="P599" s="4">
        <v>9386</v>
      </c>
      <c r="Q599" s="4">
        <v>264147</v>
      </c>
      <c r="R599" s="4">
        <v>1041051</v>
      </c>
      <c r="S599" s="5">
        <v>0.4</v>
      </c>
      <c r="T599" s="4">
        <v>416421</v>
      </c>
      <c r="U599" s="4">
        <v>1457472</v>
      </c>
      <c r="V599" s="6">
        <f t="shared" si="18"/>
        <v>39351.744000000006</v>
      </c>
      <c r="W599" s="6">
        <f t="shared" si="19"/>
        <v>1418120.2560000001</v>
      </c>
    </row>
    <row r="600" spans="1:23" x14ac:dyDescent="0.3">
      <c r="A600" s="2" t="s">
        <v>21</v>
      </c>
      <c r="B600" s="2">
        <v>17.018999999999998</v>
      </c>
      <c r="C600" s="2">
        <v>2000517581</v>
      </c>
      <c r="D600" s="2">
        <v>42.8</v>
      </c>
      <c r="E600" s="2"/>
      <c r="F600" s="2">
        <v>300</v>
      </c>
      <c r="G600" s="2">
        <v>1050</v>
      </c>
      <c r="H600" s="2"/>
      <c r="I600" s="2"/>
      <c r="J600" s="3">
        <f>IF(A600="Upgrade",IF(OR(H600=4,H600=5),VLOOKUP(I600,'Renewal Rates'!$A$22:$B$27,2,FALSE),2.7%),IF(A600="Renewal",100%,0%))</f>
        <v>2.7000000000000003E-2</v>
      </c>
      <c r="K600" s="2" t="s">
        <v>22</v>
      </c>
      <c r="L600" s="2">
        <v>376</v>
      </c>
      <c r="M600" s="2" t="s">
        <v>23</v>
      </c>
      <c r="N600" s="2" t="s">
        <v>24</v>
      </c>
      <c r="O600" s="4">
        <v>289258</v>
      </c>
      <c r="P600" s="4">
        <v>6756</v>
      </c>
      <c r="Q600" s="4">
        <v>98348</v>
      </c>
      <c r="R600" s="4">
        <v>387605</v>
      </c>
      <c r="S600" s="5">
        <v>0.4</v>
      </c>
      <c r="T600" s="4">
        <v>155042</v>
      </c>
      <c r="U600" s="4">
        <v>542648</v>
      </c>
      <c r="V600" s="6">
        <f t="shared" si="18"/>
        <v>14651.496000000001</v>
      </c>
      <c r="W600" s="6">
        <f t="shared" si="19"/>
        <v>527996.50399999996</v>
      </c>
    </row>
    <row r="601" spans="1:23" x14ac:dyDescent="0.3">
      <c r="A601" s="2" t="s">
        <v>21</v>
      </c>
      <c r="B601" s="2">
        <v>17.018000000000001</v>
      </c>
      <c r="C601" s="2">
        <v>2000394306</v>
      </c>
      <c r="D601" s="2">
        <v>91.9</v>
      </c>
      <c r="E601" s="2"/>
      <c r="F601" s="2">
        <v>300</v>
      </c>
      <c r="G601" s="2">
        <v>825</v>
      </c>
      <c r="H601" s="2"/>
      <c r="I601" s="2"/>
      <c r="J601" s="3">
        <f>IF(A601="Upgrade",IF(OR(H601=4,H601=5),VLOOKUP(I601,'Renewal Rates'!$A$22:$B$27,2,FALSE),2.7%),IF(A601="Renewal",100%,0%))</f>
        <v>2.7000000000000003E-2</v>
      </c>
      <c r="K601" s="2" t="s">
        <v>22</v>
      </c>
      <c r="L601" s="2">
        <v>376</v>
      </c>
      <c r="M601" s="2" t="s">
        <v>23</v>
      </c>
      <c r="N601" s="2" t="s">
        <v>24</v>
      </c>
      <c r="O601" s="4">
        <v>407533</v>
      </c>
      <c r="P601" s="4">
        <v>4435</v>
      </c>
      <c r="Q601" s="4">
        <v>138561</v>
      </c>
      <c r="R601" s="4">
        <v>546094</v>
      </c>
      <c r="S601" s="5">
        <v>0.4</v>
      </c>
      <c r="T601" s="4">
        <v>218437</v>
      </c>
      <c r="U601" s="4">
        <v>764531</v>
      </c>
      <c r="V601" s="6">
        <f t="shared" si="18"/>
        <v>20642.337000000003</v>
      </c>
      <c r="W601" s="6">
        <f t="shared" si="19"/>
        <v>743888.66299999994</v>
      </c>
    </row>
    <row r="602" spans="1:23" x14ac:dyDescent="0.3">
      <c r="A602" s="2" t="s">
        <v>21</v>
      </c>
      <c r="B602" s="2">
        <v>17.018000000000001</v>
      </c>
      <c r="C602" s="2">
        <v>2000859497</v>
      </c>
      <c r="D602" s="2">
        <v>83.9</v>
      </c>
      <c r="E602" s="2"/>
      <c r="F602" s="2">
        <v>300</v>
      </c>
      <c r="G602" s="2">
        <v>825</v>
      </c>
      <c r="H602" s="2">
        <v>4</v>
      </c>
      <c r="I602" s="2">
        <v>3</v>
      </c>
      <c r="J602" s="3">
        <f>IF(A602="Upgrade",IF(OR(H602=4,H602=5),VLOOKUP(I602,'Renewal Rates'!$A$22:$B$27,2,FALSE),2.7%),IF(A602="Renewal",100%,0%))</f>
        <v>0.21</v>
      </c>
      <c r="K602" s="2" t="s">
        <v>22</v>
      </c>
      <c r="L602" s="2">
        <v>376</v>
      </c>
      <c r="M602" s="2" t="s">
        <v>23</v>
      </c>
      <c r="N602" s="2" t="s">
        <v>24</v>
      </c>
      <c r="O602" s="4">
        <v>375873</v>
      </c>
      <c r="P602" s="4">
        <v>4481</v>
      </c>
      <c r="Q602" s="4">
        <v>127797</v>
      </c>
      <c r="R602" s="4">
        <v>503670</v>
      </c>
      <c r="S602" s="5">
        <v>0.4</v>
      </c>
      <c r="T602" s="4">
        <v>201468</v>
      </c>
      <c r="U602" s="4">
        <v>705138</v>
      </c>
      <c r="V602" s="6">
        <f t="shared" si="18"/>
        <v>148078.97999999998</v>
      </c>
      <c r="W602" s="6">
        <f t="shared" si="19"/>
        <v>557059.02</v>
      </c>
    </row>
    <row r="603" spans="1:23" x14ac:dyDescent="0.3">
      <c r="A603" s="2" t="s">
        <v>21</v>
      </c>
      <c r="B603" s="2">
        <v>17.016999999999999</v>
      </c>
      <c r="C603" s="2">
        <v>2000589489</v>
      </c>
      <c r="D603" s="2">
        <v>12.5</v>
      </c>
      <c r="E603" s="2"/>
      <c r="F603" s="2">
        <v>225</v>
      </c>
      <c r="G603" s="2">
        <v>750</v>
      </c>
      <c r="H603" s="2"/>
      <c r="I603" s="2"/>
      <c r="J603" s="3">
        <f>IF(A603="Upgrade",IF(OR(H603=4,H603=5),VLOOKUP(I603,'Renewal Rates'!$A$22:$B$27,2,FALSE),2.7%),IF(A603="Renewal",100%,0%))</f>
        <v>2.7000000000000003E-2</v>
      </c>
      <c r="K603" s="2" t="s">
        <v>22</v>
      </c>
      <c r="L603" s="2">
        <v>376</v>
      </c>
      <c r="M603" s="2" t="s">
        <v>23</v>
      </c>
      <c r="N603" s="2" t="s">
        <v>24</v>
      </c>
      <c r="O603" s="4">
        <v>85934</v>
      </c>
      <c r="P603" s="4">
        <v>6894</v>
      </c>
      <c r="Q603" s="4">
        <v>29218</v>
      </c>
      <c r="R603" s="4">
        <v>115152</v>
      </c>
      <c r="S603" s="5">
        <v>0.4</v>
      </c>
      <c r="T603" s="4">
        <v>46061</v>
      </c>
      <c r="U603" s="4">
        <v>161213</v>
      </c>
      <c r="V603" s="6">
        <f t="shared" si="18"/>
        <v>4352.7510000000002</v>
      </c>
      <c r="W603" s="6">
        <f t="shared" si="19"/>
        <v>156860.24900000001</v>
      </c>
    </row>
    <row r="604" spans="1:23" x14ac:dyDescent="0.3">
      <c r="A604" s="2" t="s">
        <v>21</v>
      </c>
      <c r="B604" s="2">
        <v>17.016999999999999</v>
      </c>
      <c r="C604" s="2">
        <v>2000622769</v>
      </c>
      <c r="D604" s="2">
        <v>45.9</v>
      </c>
      <c r="E604" s="2"/>
      <c r="F604" s="2">
        <v>225</v>
      </c>
      <c r="G604" s="2">
        <v>750</v>
      </c>
      <c r="H604" s="2"/>
      <c r="I604" s="2"/>
      <c r="J604" s="3">
        <f>IF(A604="Upgrade",IF(OR(H604=4,H604=5),VLOOKUP(I604,'Renewal Rates'!$A$22:$B$27,2,FALSE),2.7%),IF(A604="Renewal",100%,0%))</f>
        <v>2.7000000000000003E-2</v>
      </c>
      <c r="K604" s="2" t="s">
        <v>22</v>
      </c>
      <c r="L604" s="2">
        <v>376</v>
      </c>
      <c r="M604" s="2" t="s">
        <v>23</v>
      </c>
      <c r="N604" s="2" t="s">
        <v>24</v>
      </c>
      <c r="O604" s="4">
        <v>189715</v>
      </c>
      <c r="P604" s="4">
        <v>4133</v>
      </c>
      <c r="Q604" s="4">
        <v>64503</v>
      </c>
      <c r="R604" s="4">
        <v>254219</v>
      </c>
      <c r="S604" s="5">
        <v>0.4</v>
      </c>
      <c r="T604" s="4">
        <v>101687</v>
      </c>
      <c r="U604" s="4">
        <v>355906</v>
      </c>
      <c r="V604" s="6">
        <f t="shared" si="18"/>
        <v>9609.4620000000014</v>
      </c>
      <c r="W604" s="6">
        <f t="shared" si="19"/>
        <v>346296.538</v>
      </c>
    </row>
    <row r="605" spans="1:23" x14ac:dyDescent="0.3">
      <c r="A605" s="2" t="s">
        <v>21</v>
      </c>
      <c r="B605" s="2">
        <v>17.016999999999999</v>
      </c>
      <c r="C605" s="2">
        <v>2000627743</v>
      </c>
      <c r="D605" s="2">
        <v>69.8</v>
      </c>
      <c r="E605" s="2"/>
      <c r="F605" s="2">
        <v>225</v>
      </c>
      <c r="G605" s="2">
        <v>750</v>
      </c>
      <c r="H605" s="2"/>
      <c r="I605" s="2"/>
      <c r="J605" s="3">
        <f>IF(A605="Upgrade",IF(OR(H605=4,H605=5),VLOOKUP(I605,'Renewal Rates'!$A$22:$B$27,2,FALSE),2.7%),IF(A605="Renewal",100%,0%))</f>
        <v>2.7000000000000003E-2</v>
      </c>
      <c r="K605" s="2" t="s">
        <v>22</v>
      </c>
      <c r="L605" s="2">
        <v>376</v>
      </c>
      <c r="M605" s="2" t="s">
        <v>23</v>
      </c>
      <c r="N605" s="2" t="s">
        <v>24</v>
      </c>
      <c r="O605" s="4">
        <v>304949</v>
      </c>
      <c r="P605" s="4">
        <v>4372</v>
      </c>
      <c r="Q605" s="4">
        <v>103683</v>
      </c>
      <c r="R605" s="4">
        <v>408632</v>
      </c>
      <c r="S605" s="5">
        <v>0.4</v>
      </c>
      <c r="T605" s="4">
        <v>163453</v>
      </c>
      <c r="U605" s="4">
        <v>572085</v>
      </c>
      <c r="V605" s="6">
        <f t="shared" si="18"/>
        <v>15446.295000000002</v>
      </c>
      <c r="W605" s="6">
        <f t="shared" si="19"/>
        <v>556638.70499999996</v>
      </c>
    </row>
    <row r="606" spans="1:23" x14ac:dyDescent="0.3">
      <c r="A606" s="2" t="s">
        <v>21</v>
      </c>
      <c r="B606" s="2">
        <v>17.016999999999999</v>
      </c>
      <c r="C606" s="2">
        <v>2000923377</v>
      </c>
      <c r="D606" s="2">
        <v>20.2</v>
      </c>
      <c r="E606" s="2"/>
      <c r="F606" s="2">
        <v>225</v>
      </c>
      <c r="G606" s="2">
        <v>750</v>
      </c>
      <c r="H606" s="2"/>
      <c r="I606" s="2"/>
      <c r="J606" s="3">
        <f>IF(A606="Upgrade",IF(OR(H606=4,H606=5),VLOOKUP(I606,'Renewal Rates'!$A$22:$B$27,2,FALSE),2.7%),IF(A606="Renewal",100%,0%))</f>
        <v>2.7000000000000003E-2</v>
      </c>
      <c r="K606" s="2" t="s">
        <v>22</v>
      </c>
      <c r="L606" s="2">
        <v>376</v>
      </c>
      <c r="M606" s="2" t="s">
        <v>23</v>
      </c>
      <c r="N606" s="2" t="s">
        <v>24</v>
      </c>
      <c r="O606" s="4">
        <v>115846</v>
      </c>
      <c r="P606" s="4">
        <v>5744</v>
      </c>
      <c r="Q606" s="4">
        <v>39388</v>
      </c>
      <c r="R606" s="4">
        <v>155234</v>
      </c>
      <c r="S606" s="5">
        <v>0.4</v>
      </c>
      <c r="T606" s="4">
        <v>62094</v>
      </c>
      <c r="U606" s="4">
        <v>217328</v>
      </c>
      <c r="V606" s="6">
        <f t="shared" si="18"/>
        <v>5867.8560000000007</v>
      </c>
      <c r="W606" s="6">
        <f t="shared" si="19"/>
        <v>211460.144</v>
      </c>
    </row>
    <row r="607" spans="1:23" x14ac:dyDescent="0.3">
      <c r="A607" s="2" t="s">
        <v>21</v>
      </c>
      <c r="B607" s="2">
        <v>17.015999999999998</v>
      </c>
      <c r="C607" s="2">
        <v>3000015173</v>
      </c>
      <c r="D607" s="2">
        <v>39.299999999999997</v>
      </c>
      <c r="E607" s="2"/>
      <c r="F607" s="2">
        <v>225</v>
      </c>
      <c r="G607" s="2">
        <v>600</v>
      </c>
      <c r="H607" s="2"/>
      <c r="I607" s="2"/>
      <c r="J607" s="3">
        <f>IF(A607="Upgrade",IF(OR(H607=4,H607=5),VLOOKUP(I607,'Renewal Rates'!$A$22:$B$27,2,FALSE),2.7%),IF(A607="Renewal",100%,0%))</f>
        <v>2.7000000000000003E-2</v>
      </c>
      <c r="K607" s="2" t="s">
        <v>22</v>
      </c>
      <c r="L607" s="2">
        <v>376</v>
      </c>
      <c r="M607" s="2" t="s">
        <v>23</v>
      </c>
      <c r="N607" s="2" t="s">
        <v>24</v>
      </c>
      <c r="O607" s="4">
        <v>158828</v>
      </c>
      <c r="P607" s="4">
        <v>4038</v>
      </c>
      <c r="Q607" s="4">
        <v>54002</v>
      </c>
      <c r="R607" s="4">
        <v>212830</v>
      </c>
      <c r="S607" s="5">
        <v>0.4</v>
      </c>
      <c r="T607" s="4">
        <v>85132</v>
      </c>
      <c r="U607" s="4">
        <v>297962</v>
      </c>
      <c r="V607" s="6">
        <f t="shared" si="18"/>
        <v>8044.9740000000011</v>
      </c>
      <c r="W607" s="6">
        <f t="shared" si="19"/>
        <v>289917.02600000001</v>
      </c>
    </row>
    <row r="608" spans="1:23" x14ac:dyDescent="0.3">
      <c r="A608" s="2" t="s">
        <v>21</v>
      </c>
      <c r="B608" s="2">
        <v>17.015999999999998</v>
      </c>
      <c r="C608" s="2">
        <v>3000015172</v>
      </c>
      <c r="D608" s="2">
        <v>62.7</v>
      </c>
      <c r="E608" s="2"/>
      <c r="F608" s="2">
        <v>225</v>
      </c>
      <c r="G608" s="2">
        <v>600</v>
      </c>
      <c r="H608" s="2"/>
      <c r="I608" s="2"/>
      <c r="J608" s="3">
        <f>IF(A608="Upgrade",IF(OR(H608=4,H608=5),VLOOKUP(I608,'Renewal Rates'!$A$22:$B$27,2,FALSE),2.7%),IF(A608="Renewal",100%,0%))</f>
        <v>2.7000000000000003E-2</v>
      </c>
      <c r="K608" s="2" t="s">
        <v>22</v>
      </c>
      <c r="L608" s="2">
        <v>376</v>
      </c>
      <c r="M608" s="2" t="s">
        <v>23</v>
      </c>
      <c r="N608" s="2" t="s">
        <v>24</v>
      </c>
      <c r="O608" s="4">
        <v>240284</v>
      </c>
      <c r="P608" s="4">
        <v>3832</v>
      </c>
      <c r="Q608" s="4">
        <v>81696</v>
      </c>
      <c r="R608" s="4">
        <v>321980</v>
      </c>
      <c r="S608" s="5">
        <v>0.4</v>
      </c>
      <c r="T608" s="4">
        <v>128792</v>
      </c>
      <c r="U608" s="4">
        <v>450772</v>
      </c>
      <c r="V608" s="6">
        <f t="shared" si="18"/>
        <v>12170.844000000001</v>
      </c>
      <c r="W608" s="6">
        <f t="shared" si="19"/>
        <v>438601.15600000002</v>
      </c>
    </row>
    <row r="609" spans="1:23" x14ac:dyDescent="0.3">
      <c r="A609" s="2" t="s">
        <v>21</v>
      </c>
      <c r="B609" s="2">
        <v>17.015999999999998</v>
      </c>
      <c r="C609" s="2">
        <v>2000754530</v>
      </c>
      <c r="D609" s="2">
        <v>90</v>
      </c>
      <c r="E609" s="2"/>
      <c r="F609" s="2">
        <v>300</v>
      </c>
      <c r="G609" s="2">
        <v>600</v>
      </c>
      <c r="H609" s="2"/>
      <c r="I609" s="2"/>
      <c r="J609" s="3">
        <f>IF(A609="Upgrade",IF(OR(H609=4,H609=5),VLOOKUP(I609,'Renewal Rates'!$A$22:$B$27,2,FALSE),2.7%),IF(A609="Renewal",100%,0%))</f>
        <v>2.7000000000000003E-2</v>
      </c>
      <c r="K609" s="2" t="s">
        <v>22</v>
      </c>
      <c r="L609" s="2">
        <v>376</v>
      </c>
      <c r="M609" s="2" t="s">
        <v>23</v>
      </c>
      <c r="N609" s="2" t="s">
        <v>24</v>
      </c>
      <c r="O609" s="4">
        <v>307336</v>
      </c>
      <c r="P609" s="4">
        <v>3417</v>
      </c>
      <c r="Q609" s="4">
        <v>104494</v>
      </c>
      <c r="R609" s="4">
        <v>411830</v>
      </c>
      <c r="S609" s="5">
        <v>0.4</v>
      </c>
      <c r="T609" s="4">
        <v>164732</v>
      </c>
      <c r="U609" s="4">
        <v>576562</v>
      </c>
      <c r="V609" s="6">
        <f t="shared" si="18"/>
        <v>15567.174000000003</v>
      </c>
      <c r="W609" s="6">
        <f t="shared" si="19"/>
        <v>560994.826</v>
      </c>
    </row>
    <row r="610" spans="1:23" x14ac:dyDescent="0.3">
      <c r="A610" s="2" t="s">
        <v>25</v>
      </c>
      <c r="B610" s="2">
        <v>17.015000000000001</v>
      </c>
      <c r="C610" s="2"/>
      <c r="D610" s="2"/>
      <c r="E610" s="2">
        <v>100.1</v>
      </c>
      <c r="F610" s="2"/>
      <c r="G610" s="2">
        <v>375</v>
      </c>
      <c r="H610" s="2"/>
      <c r="I610" s="2"/>
      <c r="J610" s="3">
        <f>IF(A610="Upgrade",IF(OR(H610=4,H610=5),VLOOKUP(I610,'Renewal Rates'!$A$22:$B$27,2,FALSE),2.7%),IF(A610="Renewal",100%,0%))</f>
        <v>0</v>
      </c>
      <c r="K610" s="2" t="s">
        <v>22</v>
      </c>
      <c r="L610" s="2">
        <v>376</v>
      </c>
      <c r="M610" s="2" t="s">
        <v>23</v>
      </c>
      <c r="N610" s="2" t="s">
        <v>24</v>
      </c>
      <c r="O610" s="4">
        <v>237666</v>
      </c>
      <c r="P610" s="4">
        <v>2374</v>
      </c>
      <c r="Q610" s="4">
        <v>80806</v>
      </c>
      <c r="R610" s="4">
        <v>318473</v>
      </c>
      <c r="S610" s="5">
        <v>0.4</v>
      </c>
      <c r="T610" s="4">
        <v>127389</v>
      </c>
      <c r="U610" s="4">
        <v>445862</v>
      </c>
      <c r="V610" s="6">
        <f t="shared" si="18"/>
        <v>0</v>
      </c>
      <c r="W610" s="6">
        <f t="shared" si="19"/>
        <v>445862</v>
      </c>
    </row>
    <row r="611" spans="1:23" x14ac:dyDescent="0.3">
      <c r="A611" s="2" t="s">
        <v>25</v>
      </c>
      <c r="B611" s="2">
        <v>17.010999999999999</v>
      </c>
      <c r="C611" s="2"/>
      <c r="D611" s="2"/>
      <c r="E611" s="2">
        <v>96.8</v>
      </c>
      <c r="F611" s="2"/>
      <c r="G611" s="2">
        <v>300</v>
      </c>
      <c r="H611" s="2"/>
      <c r="I611" s="2"/>
      <c r="J611" s="3">
        <f>IF(A611="Upgrade",IF(OR(H611=4,H611=5),VLOOKUP(I611,'Renewal Rates'!$A$22:$B$27,2,FALSE),2.7%),IF(A611="Renewal",100%,0%))</f>
        <v>0</v>
      </c>
      <c r="K611" s="2" t="s">
        <v>22</v>
      </c>
      <c r="L611" s="2">
        <v>376</v>
      </c>
      <c r="M611" s="2" t="s">
        <v>23</v>
      </c>
      <c r="N611" s="2" t="s">
        <v>24</v>
      </c>
      <c r="O611" s="4">
        <v>175321</v>
      </c>
      <c r="P611" s="4">
        <v>1811</v>
      </c>
      <c r="Q611" s="4">
        <v>59609</v>
      </c>
      <c r="R611" s="4">
        <v>234930</v>
      </c>
      <c r="S611" s="5">
        <v>0.4</v>
      </c>
      <c r="T611" s="4">
        <v>93972</v>
      </c>
      <c r="U611" s="4">
        <v>328903</v>
      </c>
      <c r="V611" s="6">
        <f t="shared" si="18"/>
        <v>0</v>
      </c>
      <c r="W611" s="6">
        <f t="shared" si="19"/>
        <v>328903</v>
      </c>
    </row>
    <row r="612" spans="1:23" x14ac:dyDescent="0.3">
      <c r="A612" s="2" t="s">
        <v>21</v>
      </c>
      <c r="B612" s="2">
        <v>17.021000000000001</v>
      </c>
      <c r="C612" s="2">
        <v>2000420950</v>
      </c>
      <c r="D612" s="2">
        <v>55.9</v>
      </c>
      <c r="E612" s="2"/>
      <c r="F612" s="2">
        <v>225</v>
      </c>
      <c r="G612" s="2">
        <v>825</v>
      </c>
      <c r="H612" s="2"/>
      <c r="I612" s="2"/>
      <c r="J612" s="3">
        <f>IF(A612="Upgrade",IF(OR(H612=4,H612=5),VLOOKUP(I612,'Renewal Rates'!$A$22:$B$27,2,FALSE),2.7%),IF(A612="Renewal",100%,0%))</f>
        <v>2.7000000000000003E-2</v>
      </c>
      <c r="K612" s="2" t="s">
        <v>22</v>
      </c>
      <c r="L612" s="2">
        <v>376</v>
      </c>
      <c r="M612" s="2" t="s">
        <v>23</v>
      </c>
      <c r="N612" s="2" t="s">
        <v>24</v>
      </c>
      <c r="O612" s="4">
        <v>274934</v>
      </c>
      <c r="P612" s="4">
        <v>4918</v>
      </c>
      <c r="Q612" s="4">
        <v>93477</v>
      </c>
      <c r="R612" s="4">
        <v>368411</v>
      </c>
      <c r="S612" s="5">
        <v>0.4</v>
      </c>
      <c r="T612" s="4">
        <v>147364</v>
      </c>
      <c r="U612" s="4">
        <v>515775</v>
      </c>
      <c r="V612" s="6">
        <f t="shared" si="18"/>
        <v>13925.925000000001</v>
      </c>
      <c r="W612" s="6">
        <f t="shared" si="19"/>
        <v>501849.07500000001</v>
      </c>
    </row>
    <row r="613" spans="1:23" x14ac:dyDescent="0.3">
      <c r="A613" s="2" t="s">
        <v>21</v>
      </c>
      <c r="B613" s="2">
        <v>17.021000000000001</v>
      </c>
      <c r="C613" s="2">
        <v>2000424809</v>
      </c>
      <c r="D613" s="2">
        <v>17.399999999999999</v>
      </c>
      <c r="E613" s="2"/>
      <c r="F613" s="2">
        <v>225</v>
      </c>
      <c r="G613" s="2">
        <v>825</v>
      </c>
      <c r="H613" s="2"/>
      <c r="I613" s="2"/>
      <c r="J613" s="3">
        <f>IF(A613="Upgrade",IF(OR(H613=4,H613=5),VLOOKUP(I613,'Renewal Rates'!$A$22:$B$27,2,FALSE),2.7%),IF(A613="Renewal",100%,0%))</f>
        <v>2.7000000000000003E-2</v>
      </c>
      <c r="K613" s="2" t="s">
        <v>22</v>
      </c>
      <c r="L613" s="2">
        <v>376</v>
      </c>
      <c r="M613" s="2" t="s">
        <v>23</v>
      </c>
      <c r="N613" s="2" t="s">
        <v>24</v>
      </c>
      <c r="O613" s="4">
        <v>114490</v>
      </c>
      <c r="P613" s="4">
        <v>6576</v>
      </c>
      <c r="Q613" s="4">
        <v>38927</v>
      </c>
      <c r="R613" s="4">
        <v>153417</v>
      </c>
      <c r="S613" s="5">
        <v>0.4</v>
      </c>
      <c r="T613" s="4">
        <v>61367</v>
      </c>
      <c r="U613" s="4">
        <v>214784</v>
      </c>
      <c r="V613" s="6">
        <f t="shared" si="18"/>
        <v>5799.1680000000006</v>
      </c>
      <c r="W613" s="6">
        <f t="shared" si="19"/>
        <v>208984.83199999999</v>
      </c>
    </row>
    <row r="614" spans="1:23" x14ac:dyDescent="0.3">
      <c r="A614" s="2" t="s">
        <v>21</v>
      </c>
      <c r="B614" s="2">
        <v>17.021000000000001</v>
      </c>
      <c r="C614" s="2">
        <v>2000761557</v>
      </c>
      <c r="D614" s="2">
        <v>12.5</v>
      </c>
      <c r="E614" s="2"/>
      <c r="F614" s="2">
        <v>225</v>
      </c>
      <c r="G614" s="2">
        <v>825</v>
      </c>
      <c r="H614" s="2"/>
      <c r="I614" s="2"/>
      <c r="J614" s="3">
        <f>IF(A614="Upgrade",IF(OR(H614=4,H614=5),VLOOKUP(I614,'Renewal Rates'!$A$22:$B$27,2,FALSE),2.7%),IF(A614="Renewal",100%,0%))</f>
        <v>2.7000000000000003E-2</v>
      </c>
      <c r="K614" s="2" t="s">
        <v>22</v>
      </c>
      <c r="L614" s="2">
        <v>376</v>
      </c>
      <c r="M614" s="2" t="s">
        <v>23</v>
      </c>
      <c r="N614" s="2" t="s">
        <v>24</v>
      </c>
      <c r="O614" s="4">
        <v>111014</v>
      </c>
      <c r="P614" s="4">
        <v>8860</v>
      </c>
      <c r="Q614" s="4">
        <v>37745</v>
      </c>
      <c r="R614" s="4">
        <v>148758</v>
      </c>
      <c r="S614" s="5">
        <v>0.4</v>
      </c>
      <c r="T614" s="4">
        <v>59503</v>
      </c>
      <c r="U614" s="4">
        <v>208261</v>
      </c>
      <c r="V614" s="6">
        <f t="shared" si="18"/>
        <v>5623.0470000000005</v>
      </c>
      <c r="W614" s="6">
        <f t="shared" si="19"/>
        <v>202637.95300000001</v>
      </c>
    </row>
    <row r="615" spans="1:23" x14ac:dyDescent="0.3">
      <c r="A615" s="2" t="s">
        <v>21</v>
      </c>
      <c r="B615" s="2">
        <v>17.021000000000001</v>
      </c>
      <c r="C615" s="2">
        <v>2000878036</v>
      </c>
      <c r="D615" s="2">
        <v>39.299999999999997</v>
      </c>
      <c r="E615" s="2"/>
      <c r="F615" s="2">
        <v>225</v>
      </c>
      <c r="G615" s="2">
        <v>825</v>
      </c>
      <c r="H615" s="2"/>
      <c r="I615" s="2"/>
      <c r="J615" s="3">
        <f>IF(A615="Upgrade",IF(OR(H615=4,H615=5),VLOOKUP(I615,'Renewal Rates'!$A$22:$B$27,2,FALSE),2.7%),IF(A615="Renewal",100%,0%))</f>
        <v>2.7000000000000003E-2</v>
      </c>
      <c r="K615" s="2" t="s">
        <v>22</v>
      </c>
      <c r="L615" s="2">
        <v>376</v>
      </c>
      <c r="M615" s="2" t="s">
        <v>23</v>
      </c>
      <c r="N615" s="2" t="s">
        <v>24</v>
      </c>
      <c r="O615" s="4">
        <v>186695</v>
      </c>
      <c r="P615" s="4">
        <v>4753</v>
      </c>
      <c r="Q615" s="4">
        <v>63476</v>
      </c>
      <c r="R615" s="4">
        <v>250172</v>
      </c>
      <c r="S615" s="5">
        <v>0.4</v>
      </c>
      <c r="T615" s="4">
        <v>100069</v>
      </c>
      <c r="U615" s="4">
        <v>350240</v>
      </c>
      <c r="V615" s="6">
        <f t="shared" si="18"/>
        <v>9456.4800000000014</v>
      </c>
      <c r="W615" s="6">
        <f t="shared" si="19"/>
        <v>340783.52</v>
      </c>
    </row>
    <row r="616" spans="1:23" x14ac:dyDescent="0.3">
      <c r="A616" s="2" t="s">
        <v>25</v>
      </c>
      <c r="B616" s="2">
        <v>17.013999999999999</v>
      </c>
      <c r="C616" s="2"/>
      <c r="D616" s="2"/>
      <c r="E616" s="2">
        <v>113.8</v>
      </c>
      <c r="F616" s="2"/>
      <c r="G616" s="2">
        <v>750</v>
      </c>
      <c r="H616" s="2"/>
      <c r="I616" s="2"/>
      <c r="J616" s="3">
        <f>IF(A616="Upgrade",IF(OR(H616=4,H616=5),VLOOKUP(I616,'Renewal Rates'!$A$22:$B$27,2,FALSE),2.7%),IF(A616="Renewal",100%,0%))</f>
        <v>0</v>
      </c>
      <c r="K616" s="2" t="s">
        <v>22</v>
      </c>
      <c r="L616" s="2">
        <v>376</v>
      </c>
      <c r="M616" s="2" t="s">
        <v>23</v>
      </c>
      <c r="N616" s="2" t="s">
        <v>24</v>
      </c>
      <c r="O616" s="4">
        <v>467024</v>
      </c>
      <c r="P616" s="4">
        <v>4105</v>
      </c>
      <c r="Q616" s="4">
        <v>158788</v>
      </c>
      <c r="R616" s="4">
        <v>625812</v>
      </c>
      <c r="S616" s="5">
        <v>0.4</v>
      </c>
      <c r="T616" s="4">
        <v>250325</v>
      </c>
      <c r="U616" s="4">
        <v>876137</v>
      </c>
      <c r="V616" s="6">
        <f t="shared" si="18"/>
        <v>0</v>
      </c>
      <c r="W616" s="6">
        <f t="shared" si="19"/>
        <v>876137</v>
      </c>
    </row>
    <row r="617" spans="1:23" x14ac:dyDescent="0.3">
      <c r="A617" s="2" t="s">
        <v>25</v>
      </c>
      <c r="B617" s="2">
        <v>17.012</v>
      </c>
      <c r="C617" s="2"/>
      <c r="D617" s="2"/>
      <c r="E617" s="2">
        <v>153.6</v>
      </c>
      <c r="F617" s="2"/>
      <c r="G617" s="2">
        <v>450</v>
      </c>
      <c r="H617" s="2"/>
      <c r="I617" s="2"/>
      <c r="J617" s="3">
        <f>IF(A617="Upgrade",IF(OR(H617=4,H617=5),VLOOKUP(I617,'Renewal Rates'!$A$22:$B$27,2,FALSE),2.7%),IF(A617="Renewal",100%,0%))</f>
        <v>0</v>
      </c>
      <c r="K617" s="2" t="s">
        <v>22</v>
      </c>
      <c r="L617" s="2">
        <v>376</v>
      </c>
      <c r="M617" s="2" t="s">
        <v>23</v>
      </c>
      <c r="N617" s="2" t="s">
        <v>24</v>
      </c>
      <c r="O617" s="4">
        <v>406258</v>
      </c>
      <c r="P617" s="4">
        <v>2645</v>
      </c>
      <c r="Q617" s="4">
        <v>138128</v>
      </c>
      <c r="R617" s="4">
        <v>544386</v>
      </c>
      <c r="S617" s="5">
        <v>0.4</v>
      </c>
      <c r="T617" s="4">
        <v>217755</v>
      </c>
      <c r="U617" s="4">
        <v>762141</v>
      </c>
      <c r="V617" s="6">
        <f t="shared" si="18"/>
        <v>0</v>
      </c>
      <c r="W617" s="6">
        <f t="shared" si="19"/>
        <v>762141</v>
      </c>
    </row>
    <row r="618" spans="1:23" x14ac:dyDescent="0.3">
      <c r="A618" s="2" t="s">
        <v>25</v>
      </c>
      <c r="B618" s="2">
        <v>17.013000000000002</v>
      </c>
      <c r="C618" s="2"/>
      <c r="D618" s="2"/>
      <c r="E618" s="2">
        <v>74.099999999999994</v>
      </c>
      <c r="F618" s="2"/>
      <c r="G618" s="2">
        <v>975</v>
      </c>
      <c r="H618" s="2"/>
      <c r="I618" s="2"/>
      <c r="J618" s="3">
        <f>IF(A618="Upgrade",IF(OR(H618=4,H618=5),VLOOKUP(I618,'Renewal Rates'!$A$22:$B$27,2,FALSE),2.7%),IF(A618="Renewal",100%,0%))</f>
        <v>0</v>
      </c>
      <c r="K618" s="2" t="s">
        <v>22</v>
      </c>
      <c r="L618" s="2">
        <v>376</v>
      </c>
      <c r="M618" s="2" t="s">
        <v>23</v>
      </c>
      <c r="N618" s="2" t="s">
        <v>24</v>
      </c>
      <c r="O618" s="4">
        <v>469982</v>
      </c>
      <c r="P618" s="4">
        <v>6345</v>
      </c>
      <c r="Q618" s="4">
        <v>159794</v>
      </c>
      <c r="R618" s="4">
        <v>629776</v>
      </c>
      <c r="S618" s="5">
        <v>0.4</v>
      </c>
      <c r="T618" s="4">
        <v>251910</v>
      </c>
      <c r="U618" s="4">
        <v>881686</v>
      </c>
      <c r="V618" s="6">
        <f t="shared" si="18"/>
        <v>0</v>
      </c>
      <c r="W618" s="6">
        <f t="shared" si="19"/>
        <v>881686</v>
      </c>
    </row>
    <row r="619" spans="1:23" x14ac:dyDescent="0.3">
      <c r="A619" s="2" t="s">
        <v>21</v>
      </c>
      <c r="B619" s="2">
        <v>17.033999999999999</v>
      </c>
      <c r="C619" s="2">
        <v>2000404884</v>
      </c>
      <c r="D619" s="2">
        <v>52.6</v>
      </c>
      <c r="E619" s="2"/>
      <c r="F619" s="2">
        <v>450</v>
      </c>
      <c r="G619" s="2">
        <v>825</v>
      </c>
      <c r="H619" s="2"/>
      <c r="I619" s="2"/>
      <c r="J619" s="3">
        <f>IF(A619="Upgrade",IF(OR(H619=4,H619=5),VLOOKUP(I619,'Renewal Rates'!$A$22:$B$27,2,FALSE),2.7%),IF(A619="Renewal",100%,0%))</f>
        <v>2.7000000000000003E-2</v>
      </c>
      <c r="K619" s="2" t="s">
        <v>22</v>
      </c>
      <c r="L619" s="2">
        <v>376</v>
      </c>
      <c r="M619" s="2" t="s">
        <v>23</v>
      </c>
      <c r="N619" s="2" t="s">
        <v>24</v>
      </c>
      <c r="O619" s="4">
        <v>293234</v>
      </c>
      <c r="P619" s="4">
        <v>5579</v>
      </c>
      <c r="Q619" s="4">
        <v>99699</v>
      </c>
      <c r="R619" s="4">
        <v>392933</v>
      </c>
      <c r="S619" s="5">
        <v>0.4</v>
      </c>
      <c r="T619" s="4">
        <v>157173</v>
      </c>
      <c r="U619" s="4">
        <v>550106</v>
      </c>
      <c r="V619" s="6">
        <f t="shared" si="18"/>
        <v>14852.862000000001</v>
      </c>
      <c r="W619" s="6">
        <f t="shared" si="19"/>
        <v>535253.13800000004</v>
      </c>
    </row>
    <row r="620" spans="1:23" x14ac:dyDescent="0.3">
      <c r="A620" s="2" t="s">
        <v>21</v>
      </c>
      <c r="B620" s="2">
        <v>17.033999999999999</v>
      </c>
      <c r="C620" s="2">
        <v>2000477950</v>
      </c>
      <c r="D620" s="2">
        <v>46.9</v>
      </c>
      <c r="E620" s="2"/>
      <c r="F620" s="2">
        <v>375</v>
      </c>
      <c r="G620" s="2">
        <v>825</v>
      </c>
      <c r="H620" s="2"/>
      <c r="I620" s="2"/>
      <c r="J620" s="3">
        <f>IF(A620="Upgrade",IF(OR(H620=4,H620=5),VLOOKUP(I620,'Renewal Rates'!$A$22:$B$27,2,FALSE),2.7%),IF(A620="Renewal",100%,0%))</f>
        <v>2.7000000000000003E-2</v>
      </c>
      <c r="K620" s="2" t="s">
        <v>22</v>
      </c>
      <c r="L620" s="2">
        <v>376</v>
      </c>
      <c r="M620" s="2" t="s">
        <v>23</v>
      </c>
      <c r="N620" s="2" t="s">
        <v>24</v>
      </c>
      <c r="O620" s="4">
        <v>241176</v>
      </c>
      <c r="P620" s="4">
        <v>5140</v>
      </c>
      <c r="Q620" s="4">
        <v>82000</v>
      </c>
      <c r="R620" s="4">
        <v>323175</v>
      </c>
      <c r="S620" s="5">
        <v>0.4</v>
      </c>
      <c r="T620" s="4">
        <v>129270</v>
      </c>
      <c r="U620" s="4">
        <v>452446</v>
      </c>
      <c r="V620" s="6">
        <f t="shared" si="18"/>
        <v>12216.042000000001</v>
      </c>
      <c r="W620" s="6">
        <f t="shared" si="19"/>
        <v>440229.95799999998</v>
      </c>
    </row>
    <row r="621" spans="1:23" x14ac:dyDescent="0.3">
      <c r="A621" s="2" t="s">
        <v>21</v>
      </c>
      <c r="B621" s="2">
        <v>17.033000000000001</v>
      </c>
      <c r="C621" s="2">
        <v>2000903279</v>
      </c>
      <c r="D621" s="2">
        <v>76.3</v>
      </c>
      <c r="E621" s="2"/>
      <c r="F621" s="2">
        <v>375</v>
      </c>
      <c r="G621" s="2">
        <v>750</v>
      </c>
      <c r="H621" s="2"/>
      <c r="I621" s="2"/>
      <c r="J621" s="3">
        <f>IF(A621="Upgrade",IF(OR(H621=4,H621=5),VLOOKUP(I621,'Renewal Rates'!$A$22:$B$27,2,FALSE),2.7%),IF(A621="Renewal",100%,0%))</f>
        <v>2.7000000000000003E-2</v>
      </c>
      <c r="K621" s="2" t="s">
        <v>22</v>
      </c>
      <c r="L621" s="2">
        <v>376</v>
      </c>
      <c r="M621" s="2" t="s">
        <v>23</v>
      </c>
      <c r="N621" s="2" t="s">
        <v>24</v>
      </c>
      <c r="O621" s="4">
        <v>356622</v>
      </c>
      <c r="P621" s="4">
        <v>4677</v>
      </c>
      <c r="Q621" s="4">
        <v>121252</v>
      </c>
      <c r="R621" s="4">
        <v>477874</v>
      </c>
      <c r="S621" s="5">
        <v>0.4</v>
      </c>
      <c r="T621" s="4">
        <v>191150</v>
      </c>
      <c r="U621" s="4">
        <v>669024</v>
      </c>
      <c r="V621" s="6">
        <f t="shared" si="18"/>
        <v>18063.648000000001</v>
      </c>
      <c r="W621" s="6">
        <f t="shared" si="19"/>
        <v>650960.35199999996</v>
      </c>
    </row>
    <row r="622" spans="1:23" x14ac:dyDescent="0.3">
      <c r="A622" s="2" t="s">
        <v>21</v>
      </c>
      <c r="B622" s="2">
        <v>17.032</v>
      </c>
      <c r="C622" s="2">
        <v>2000882935</v>
      </c>
      <c r="D622" s="2">
        <v>63.1</v>
      </c>
      <c r="E622" s="2"/>
      <c r="F622" s="2">
        <v>225</v>
      </c>
      <c r="G622" s="2">
        <v>675</v>
      </c>
      <c r="H622" s="2"/>
      <c r="I622" s="2"/>
      <c r="J622" s="3">
        <f>IF(A622="Upgrade",IF(OR(H622=4,H622=5),VLOOKUP(I622,'Renewal Rates'!$A$22:$B$27,2,FALSE),2.7%),IF(A622="Renewal",100%,0%))</f>
        <v>2.7000000000000003E-2</v>
      </c>
      <c r="K622" s="2" t="s">
        <v>22</v>
      </c>
      <c r="L622" s="2">
        <v>376</v>
      </c>
      <c r="M622" s="2" t="s">
        <v>23</v>
      </c>
      <c r="N622" s="2" t="s">
        <v>24</v>
      </c>
      <c r="O622" s="4">
        <v>290462</v>
      </c>
      <c r="P622" s="4">
        <v>4605</v>
      </c>
      <c r="Q622" s="4">
        <v>98757</v>
      </c>
      <c r="R622" s="4">
        <v>389220</v>
      </c>
      <c r="S622" s="5">
        <v>0.4</v>
      </c>
      <c r="T622" s="4">
        <v>155688</v>
      </c>
      <c r="U622" s="4">
        <v>544908</v>
      </c>
      <c r="V622" s="6">
        <f t="shared" si="18"/>
        <v>14712.516000000001</v>
      </c>
      <c r="W622" s="6">
        <f t="shared" si="19"/>
        <v>530195.48400000005</v>
      </c>
    </row>
    <row r="623" spans="1:23" x14ac:dyDescent="0.3">
      <c r="A623" s="2" t="s">
        <v>21</v>
      </c>
      <c r="B623" s="2">
        <v>17.030999999999999</v>
      </c>
      <c r="C623" s="2">
        <v>2000545235</v>
      </c>
      <c r="D623" s="2">
        <v>27.9</v>
      </c>
      <c r="E623" s="2"/>
      <c r="F623" s="2">
        <v>225</v>
      </c>
      <c r="G623" s="2">
        <v>525</v>
      </c>
      <c r="H623" s="2"/>
      <c r="I623" s="2"/>
      <c r="J623" s="3">
        <f>IF(A623="Upgrade",IF(OR(H623=4,H623=5),VLOOKUP(I623,'Renewal Rates'!$A$22:$B$27,2,FALSE),2.7%),IF(A623="Renewal",100%,0%))</f>
        <v>2.7000000000000003E-2</v>
      </c>
      <c r="K623" s="2" t="s">
        <v>22</v>
      </c>
      <c r="L623" s="2">
        <v>376</v>
      </c>
      <c r="M623" s="2" t="s">
        <v>23</v>
      </c>
      <c r="N623" s="2" t="s">
        <v>24</v>
      </c>
      <c r="O623" s="4">
        <v>107188</v>
      </c>
      <c r="P623" s="4">
        <v>3837</v>
      </c>
      <c r="Q623" s="4">
        <v>36444</v>
      </c>
      <c r="R623" s="4">
        <v>143632</v>
      </c>
      <c r="S623" s="5">
        <v>0.4</v>
      </c>
      <c r="T623" s="4">
        <v>57453</v>
      </c>
      <c r="U623" s="4">
        <v>201085</v>
      </c>
      <c r="V623" s="6">
        <f t="shared" si="18"/>
        <v>5429.295000000001</v>
      </c>
      <c r="W623" s="6">
        <f t="shared" si="19"/>
        <v>195655.70499999999</v>
      </c>
    </row>
    <row r="624" spans="1:23" x14ac:dyDescent="0.3">
      <c r="A624" s="2" t="s">
        <v>21</v>
      </c>
      <c r="B624" s="2">
        <v>17.030999999999999</v>
      </c>
      <c r="C624" s="2">
        <v>2000113950</v>
      </c>
      <c r="D624" s="2">
        <v>84.9</v>
      </c>
      <c r="E624" s="2"/>
      <c r="F624" s="2">
        <v>225</v>
      </c>
      <c r="G624" s="2">
        <v>525</v>
      </c>
      <c r="H624" s="2"/>
      <c r="I624" s="2"/>
      <c r="J624" s="3">
        <f>IF(A624="Upgrade",IF(OR(H624=4,H624=5),VLOOKUP(I624,'Renewal Rates'!$A$22:$B$27,2,FALSE),2.7%),IF(A624="Renewal",100%,0%))</f>
        <v>2.7000000000000003E-2</v>
      </c>
      <c r="K624" s="2" t="s">
        <v>22</v>
      </c>
      <c r="L624" s="2">
        <v>376</v>
      </c>
      <c r="M624" s="2" t="s">
        <v>23</v>
      </c>
      <c r="N624" s="2" t="s">
        <v>24</v>
      </c>
      <c r="O624" s="4">
        <v>253578</v>
      </c>
      <c r="P624" s="4">
        <v>2985</v>
      </c>
      <c r="Q624" s="4">
        <v>86216</v>
      </c>
      <c r="R624" s="4">
        <v>339794</v>
      </c>
      <c r="S624" s="5">
        <v>0.4</v>
      </c>
      <c r="T624" s="4">
        <v>135918</v>
      </c>
      <c r="U624" s="4">
        <v>475712</v>
      </c>
      <c r="V624" s="6">
        <f t="shared" si="18"/>
        <v>12844.224000000002</v>
      </c>
      <c r="W624" s="6">
        <f t="shared" si="19"/>
        <v>462867.77600000001</v>
      </c>
    </row>
    <row r="625" spans="1:23" x14ac:dyDescent="0.3">
      <c r="A625" s="2" t="s">
        <v>21</v>
      </c>
      <c r="B625" s="2">
        <v>17.026</v>
      </c>
      <c r="C625" s="2">
        <v>2000972924</v>
      </c>
      <c r="D625" s="2">
        <v>24.9</v>
      </c>
      <c r="E625" s="2"/>
      <c r="F625" s="2">
        <v>900</v>
      </c>
      <c r="G625" s="2">
        <v>1350</v>
      </c>
      <c r="H625" s="2"/>
      <c r="I625" s="2"/>
      <c r="J625" s="3">
        <f>IF(A625="Upgrade",IF(OR(H625=4,H625=5),VLOOKUP(I625,'Renewal Rates'!$A$22:$B$27,2,FALSE),2.7%),IF(A625="Renewal",100%,0%))</f>
        <v>2.7000000000000003E-2</v>
      </c>
      <c r="K625" s="2" t="s">
        <v>22</v>
      </c>
      <c r="L625" s="2">
        <v>376</v>
      </c>
      <c r="M625" s="2" t="s">
        <v>23</v>
      </c>
      <c r="N625" s="2" t="s">
        <v>24</v>
      </c>
      <c r="O625" s="4">
        <v>183799</v>
      </c>
      <c r="P625" s="4">
        <v>7369</v>
      </c>
      <c r="Q625" s="4">
        <v>62492</v>
      </c>
      <c r="R625" s="4">
        <v>246291</v>
      </c>
      <c r="S625" s="5">
        <v>0.4</v>
      </c>
      <c r="T625" s="4">
        <v>98516</v>
      </c>
      <c r="U625" s="4">
        <v>344807</v>
      </c>
      <c r="V625" s="6">
        <f t="shared" si="18"/>
        <v>9309.7890000000007</v>
      </c>
      <c r="W625" s="6">
        <f t="shared" si="19"/>
        <v>335497.21100000001</v>
      </c>
    </row>
    <row r="626" spans="1:23" x14ac:dyDescent="0.3">
      <c r="A626" s="2" t="s">
        <v>25</v>
      </c>
      <c r="B626" s="2">
        <v>18.001000000000001</v>
      </c>
      <c r="C626" s="2"/>
      <c r="D626" s="2"/>
      <c r="E626" s="2">
        <v>154.9</v>
      </c>
      <c r="F626" s="2"/>
      <c r="G626" s="2">
        <v>525</v>
      </c>
      <c r="H626" s="2"/>
      <c r="I626" s="2"/>
      <c r="J626" s="3">
        <f>IF(A626="Upgrade",IF(OR(H626=4,H626=5),VLOOKUP(I626,'Renewal Rates'!$A$22:$B$27,2,FALSE),2.7%),IF(A626="Renewal",100%,0%))</f>
        <v>0</v>
      </c>
      <c r="K626" s="2" t="s">
        <v>34</v>
      </c>
      <c r="L626" s="2">
        <v>377</v>
      </c>
      <c r="M626" s="2" t="s">
        <v>23</v>
      </c>
      <c r="N626" s="2" t="s">
        <v>24</v>
      </c>
      <c r="O626" s="4">
        <v>485403</v>
      </c>
      <c r="P626" s="4">
        <v>3133</v>
      </c>
      <c r="Q626" s="4">
        <v>165037</v>
      </c>
      <c r="R626" s="4">
        <v>650440</v>
      </c>
      <c r="S626" s="5">
        <v>0.4</v>
      </c>
      <c r="T626" s="4">
        <v>260176</v>
      </c>
      <c r="U626" s="4">
        <v>910616</v>
      </c>
      <c r="V626" s="6">
        <f t="shared" si="18"/>
        <v>0</v>
      </c>
      <c r="W626" s="6">
        <f t="shared" si="19"/>
        <v>910616</v>
      </c>
    </row>
    <row r="627" spans="1:23" x14ac:dyDescent="0.3">
      <c r="A627" s="2" t="s">
        <v>21</v>
      </c>
      <c r="B627" s="2">
        <v>18.004999999999999</v>
      </c>
      <c r="C627" s="2">
        <v>2000268885</v>
      </c>
      <c r="D627" s="2">
        <v>61.1</v>
      </c>
      <c r="E627" s="2"/>
      <c r="F627" s="2">
        <v>375</v>
      </c>
      <c r="G627" s="2">
        <v>825</v>
      </c>
      <c r="H627" s="2">
        <v>4</v>
      </c>
      <c r="I627" s="2">
        <v>5</v>
      </c>
      <c r="J627" s="3">
        <f>IF(A627="Upgrade",IF(OR(H627=4,H627=5),VLOOKUP(I627,'Renewal Rates'!$A$22:$B$27,2,FALSE),2.7%),IF(A627="Renewal",100%,0%))</f>
        <v>0.7</v>
      </c>
      <c r="K627" s="2" t="s">
        <v>34</v>
      </c>
      <c r="L627" s="2">
        <v>377</v>
      </c>
      <c r="M627" s="2" t="s">
        <v>23</v>
      </c>
      <c r="N627" s="2" t="s">
        <v>24</v>
      </c>
      <c r="O627" s="4">
        <v>325621</v>
      </c>
      <c r="P627" s="4">
        <v>5333</v>
      </c>
      <c r="Q627" s="4">
        <v>110711</v>
      </c>
      <c r="R627" s="4">
        <v>436331</v>
      </c>
      <c r="S627" s="5">
        <v>0.4</v>
      </c>
      <c r="T627" s="4">
        <v>174533</v>
      </c>
      <c r="U627" s="4">
        <v>610864</v>
      </c>
      <c r="V627" s="6">
        <f t="shared" si="18"/>
        <v>427604.8</v>
      </c>
      <c r="W627" s="6">
        <f t="shared" si="19"/>
        <v>183259.2</v>
      </c>
    </row>
    <row r="628" spans="1:23" x14ac:dyDescent="0.3">
      <c r="A628" s="2" t="s">
        <v>21</v>
      </c>
      <c r="B628" s="2">
        <v>18.004000000000001</v>
      </c>
      <c r="C628" s="2">
        <v>2000190863</v>
      </c>
      <c r="D628" s="2">
        <v>94.3</v>
      </c>
      <c r="E628" s="2"/>
      <c r="F628" s="2">
        <v>225</v>
      </c>
      <c r="G628" s="2">
        <v>750</v>
      </c>
      <c r="H628" s="2"/>
      <c r="I628" s="2"/>
      <c r="J628" s="3">
        <f>IF(A628="Upgrade",IF(OR(H628=4,H628=5),VLOOKUP(I628,'Renewal Rates'!$A$22:$B$27,2,FALSE),2.7%),IF(A628="Renewal",100%,0%))</f>
        <v>2.7000000000000003E-2</v>
      </c>
      <c r="K628" s="2" t="s">
        <v>34</v>
      </c>
      <c r="L628" s="2">
        <v>377</v>
      </c>
      <c r="M628" s="2" t="s">
        <v>23</v>
      </c>
      <c r="N628" s="2" t="s">
        <v>24</v>
      </c>
      <c r="O628" s="4">
        <v>377180</v>
      </c>
      <c r="P628" s="4">
        <v>4000</v>
      </c>
      <c r="Q628" s="4">
        <v>128241</v>
      </c>
      <c r="R628" s="4">
        <v>505421</v>
      </c>
      <c r="S628" s="5">
        <v>0.4</v>
      </c>
      <c r="T628" s="4">
        <v>202168</v>
      </c>
      <c r="U628" s="4">
        <v>707589</v>
      </c>
      <c r="V628" s="6">
        <f t="shared" si="18"/>
        <v>19104.903000000002</v>
      </c>
      <c r="W628" s="6">
        <f t="shared" si="19"/>
        <v>688484.09699999995</v>
      </c>
    </row>
    <row r="629" spans="1:23" x14ac:dyDescent="0.3">
      <c r="A629" s="2" t="s">
        <v>21</v>
      </c>
      <c r="B629" s="2">
        <v>18.004000000000001</v>
      </c>
      <c r="C629" s="2">
        <v>2000572710</v>
      </c>
      <c r="D629" s="2">
        <v>16.2</v>
      </c>
      <c r="E629" s="2"/>
      <c r="F629" s="2">
        <v>225</v>
      </c>
      <c r="G629" s="2">
        <v>750</v>
      </c>
      <c r="H629" s="2"/>
      <c r="I629" s="2"/>
      <c r="J629" s="3">
        <f>IF(A629="Upgrade",IF(OR(H629=4,H629=5),VLOOKUP(I629,'Renewal Rates'!$A$22:$B$27,2,FALSE),2.7%),IF(A629="Renewal",100%,0%))</f>
        <v>2.7000000000000003E-2</v>
      </c>
      <c r="K629" s="2" t="s">
        <v>34</v>
      </c>
      <c r="L629" s="2">
        <v>377</v>
      </c>
      <c r="M629" s="2" t="s">
        <v>23</v>
      </c>
      <c r="N629" s="2" t="s">
        <v>24</v>
      </c>
      <c r="O629" s="4">
        <v>91060</v>
      </c>
      <c r="P629" s="4">
        <v>5609</v>
      </c>
      <c r="Q629" s="4">
        <v>30960</v>
      </c>
      <c r="R629" s="4">
        <v>122020</v>
      </c>
      <c r="S629" s="5">
        <v>0.4</v>
      </c>
      <c r="T629" s="4">
        <v>48808</v>
      </c>
      <c r="U629" s="4">
        <v>170829</v>
      </c>
      <c r="V629" s="6">
        <f t="shared" si="18"/>
        <v>4612.3830000000007</v>
      </c>
      <c r="W629" s="6">
        <f t="shared" si="19"/>
        <v>166216.617</v>
      </c>
    </row>
    <row r="630" spans="1:23" x14ac:dyDescent="0.3">
      <c r="A630" s="2" t="s">
        <v>21</v>
      </c>
      <c r="B630" s="2">
        <v>18.009</v>
      </c>
      <c r="C630" s="2">
        <v>2000327450</v>
      </c>
      <c r="D630" s="2">
        <v>31.6</v>
      </c>
      <c r="E630" s="2"/>
      <c r="F630" s="2">
        <v>225</v>
      </c>
      <c r="G630" s="2">
        <v>600</v>
      </c>
      <c r="H630" s="2"/>
      <c r="I630" s="2"/>
      <c r="J630" s="3">
        <f>IF(A630="Upgrade",IF(OR(H630=4,H630=5),VLOOKUP(I630,'Renewal Rates'!$A$22:$B$27,2,FALSE),2.7%),IF(A630="Renewal",100%,0%))</f>
        <v>2.7000000000000003E-2</v>
      </c>
      <c r="K630" s="2" t="s">
        <v>34</v>
      </c>
      <c r="L630" s="2">
        <v>377</v>
      </c>
      <c r="M630" s="2" t="s">
        <v>23</v>
      </c>
      <c r="N630" s="2" t="s">
        <v>24</v>
      </c>
      <c r="O630" s="4">
        <v>115020</v>
      </c>
      <c r="P630" s="4">
        <v>3639</v>
      </c>
      <c r="Q630" s="4">
        <v>39107</v>
      </c>
      <c r="R630" s="4">
        <v>154127</v>
      </c>
      <c r="S630" s="5">
        <v>0.4</v>
      </c>
      <c r="T630" s="4">
        <v>61651</v>
      </c>
      <c r="U630" s="4">
        <v>215778</v>
      </c>
      <c r="V630" s="6">
        <f t="shared" si="18"/>
        <v>5826.0060000000003</v>
      </c>
      <c r="W630" s="6">
        <f t="shared" si="19"/>
        <v>209951.99400000001</v>
      </c>
    </row>
    <row r="631" spans="1:23" x14ac:dyDescent="0.3">
      <c r="A631" s="2" t="s">
        <v>21</v>
      </c>
      <c r="B631" s="2">
        <v>18.009</v>
      </c>
      <c r="C631" s="2">
        <v>2000519107</v>
      </c>
      <c r="D631" s="2">
        <v>5.0999999999999996</v>
      </c>
      <c r="E631" s="2"/>
      <c r="F631" s="2">
        <v>225</v>
      </c>
      <c r="G631" s="2">
        <v>600</v>
      </c>
      <c r="H631" s="2"/>
      <c r="I631" s="2"/>
      <c r="J631" s="3">
        <f>IF(A631="Upgrade",IF(OR(H631=4,H631=5),VLOOKUP(I631,'Renewal Rates'!$A$22:$B$27,2,FALSE),2.7%),IF(A631="Renewal",100%,0%))</f>
        <v>2.7000000000000003E-2</v>
      </c>
      <c r="K631" s="2" t="s">
        <v>34</v>
      </c>
      <c r="L631" s="2">
        <v>377</v>
      </c>
      <c r="M631" s="2" t="s">
        <v>23</v>
      </c>
      <c r="N631" s="2" t="s">
        <v>24</v>
      </c>
      <c r="O631" s="4">
        <v>48692</v>
      </c>
      <c r="P631" s="4">
        <v>9623</v>
      </c>
      <c r="Q631" s="4">
        <v>16555</v>
      </c>
      <c r="R631" s="4">
        <v>65248</v>
      </c>
      <c r="S631" s="5">
        <v>0.4</v>
      </c>
      <c r="T631" s="4">
        <v>26099</v>
      </c>
      <c r="U631" s="4">
        <v>91347</v>
      </c>
      <c r="V631" s="6">
        <f t="shared" si="18"/>
        <v>2466.3690000000001</v>
      </c>
      <c r="W631" s="6">
        <f t="shared" si="19"/>
        <v>88880.630999999994</v>
      </c>
    </row>
    <row r="632" spans="1:23" x14ac:dyDescent="0.3">
      <c r="A632" s="2" t="s">
        <v>25</v>
      </c>
      <c r="B632" s="2">
        <v>18.001999999999999</v>
      </c>
      <c r="C632" s="2"/>
      <c r="D632" s="2"/>
      <c r="E632" s="2">
        <v>84.2</v>
      </c>
      <c r="F632" s="2"/>
      <c r="G632" s="2">
        <v>600</v>
      </c>
      <c r="H632" s="2"/>
      <c r="I632" s="2"/>
      <c r="J632" s="3">
        <f>IF(A632="Upgrade",IF(OR(H632=4,H632=5),VLOOKUP(I632,'Renewal Rates'!$A$22:$B$27,2,FALSE),2.7%),IF(A632="Renewal",100%,0%))</f>
        <v>0</v>
      </c>
      <c r="K632" s="2" t="s">
        <v>34</v>
      </c>
      <c r="L632" s="2">
        <v>377</v>
      </c>
      <c r="M632" s="2" t="s">
        <v>23</v>
      </c>
      <c r="N632" s="2" t="s">
        <v>24</v>
      </c>
      <c r="O632" s="4">
        <v>285034</v>
      </c>
      <c r="P632" s="4">
        <v>3384</v>
      </c>
      <c r="Q632" s="4">
        <v>96912</v>
      </c>
      <c r="R632" s="4">
        <v>381946</v>
      </c>
      <c r="S632" s="5">
        <v>0.4</v>
      </c>
      <c r="T632" s="4">
        <v>152778</v>
      </c>
      <c r="U632" s="4">
        <v>534724</v>
      </c>
      <c r="V632" s="6">
        <f t="shared" si="18"/>
        <v>0</v>
      </c>
      <c r="W632" s="6">
        <f t="shared" si="19"/>
        <v>534724</v>
      </c>
    </row>
    <row r="633" spans="1:23" x14ac:dyDescent="0.3">
      <c r="A633" s="2" t="s">
        <v>21</v>
      </c>
      <c r="B633" s="2">
        <v>18.007000000000001</v>
      </c>
      <c r="C633" s="2">
        <v>2000362296</v>
      </c>
      <c r="D633" s="2">
        <v>49.6</v>
      </c>
      <c r="E633" s="2"/>
      <c r="F633" s="2">
        <v>225</v>
      </c>
      <c r="G633" s="2">
        <v>450</v>
      </c>
      <c r="H633" s="2"/>
      <c r="I633" s="2"/>
      <c r="J633" s="3">
        <f>IF(A633="Upgrade",IF(OR(H633=4,H633=5),VLOOKUP(I633,'Renewal Rates'!$A$22:$B$27,2,FALSE),2.7%),IF(A633="Renewal",100%,0%))</f>
        <v>2.7000000000000003E-2</v>
      </c>
      <c r="K633" s="2" t="s">
        <v>22</v>
      </c>
      <c r="L633" s="2">
        <v>377</v>
      </c>
      <c r="M633" s="2" t="s">
        <v>23</v>
      </c>
      <c r="N633" s="2" t="s">
        <v>24</v>
      </c>
      <c r="O633" s="4">
        <v>154454</v>
      </c>
      <c r="P633" s="4">
        <v>3112</v>
      </c>
      <c r="Q633" s="4">
        <v>52514</v>
      </c>
      <c r="R633" s="4">
        <v>206968</v>
      </c>
      <c r="S633" s="5">
        <v>0.4</v>
      </c>
      <c r="T633" s="4">
        <v>82787</v>
      </c>
      <c r="U633" s="4">
        <v>289755</v>
      </c>
      <c r="V633" s="6">
        <f t="shared" si="18"/>
        <v>7823.3850000000011</v>
      </c>
      <c r="W633" s="6">
        <f t="shared" si="19"/>
        <v>281931.61499999999</v>
      </c>
    </row>
    <row r="634" spans="1:23" x14ac:dyDescent="0.3">
      <c r="A634" s="2" t="s">
        <v>21</v>
      </c>
      <c r="B634" s="2">
        <v>18.007000000000001</v>
      </c>
      <c r="C634" s="2">
        <v>2000584120</v>
      </c>
      <c r="D634" s="2">
        <v>47.6</v>
      </c>
      <c r="E634" s="2"/>
      <c r="F634" s="2">
        <v>375</v>
      </c>
      <c r="G634" s="2">
        <v>450</v>
      </c>
      <c r="H634" s="2"/>
      <c r="I634" s="2"/>
      <c r="J634" s="3">
        <f>IF(A634="Upgrade",IF(OR(H634=4,H634=5),VLOOKUP(I634,'Renewal Rates'!$A$22:$B$27,2,FALSE),2.7%),IF(A634="Renewal",100%,0%))</f>
        <v>2.7000000000000003E-2</v>
      </c>
      <c r="K634" s="2" t="s">
        <v>22</v>
      </c>
      <c r="L634" s="2">
        <v>377</v>
      </c>
      <c r="M634" s="2" t="s">
        <v>23</v>
      </c>
      <c r="N634" s="2" t="s">
        <v>24</v>
      </c>
      <c r="O634" s="4">
        <v>136621</v>
      </c>
      <c r="P634" s="4">
        <v>2871</v>
      </c>
      <c r="Q634" s="4">
        <v>46451</v>
      </c>
      <c r="R634" s="4">
        <v>183072</v>
      </c>
      <c r="S634" s="5">
        <v>0.4</v>
      </c>
      <c r="T634" s="4">
        <v>73229</v>
      </c>
      <c r="U634" s="4">
        <v>256301</v>
      </c>
      <c r="V634" s="6">
        <f t="shared" si="18"/>
        <v>6920.1270000000004</v>
      </c>
      <c r="W634" s="6">
        <f t="shared" si="19"/>
        <v>249380.87299999999</v>
      </c>
    </row>
    <row r="635" spans="1:23" x14ac:dyDescent="0.3">
      <c r="A635" s="2" t="s">
        <v>21</v>
      </c>
      <c r="B635" s="2">
        <v>18.007000000000001</v>
      </c>
      <c r="C635" s="2">
        <v>2000253021</v>
      </c>
      <c r="D635" s="2">
        <v>16.100000000000001</v>
      </c>
      <c r="E635" s="2"/>
      <c r="F635" s="2">
        <v>225</v>
      </c>
      <c r="G635" s="2">
        <v>450</v>
      </c>
      <c r="H635" s="2"/>
      <c r="I635" s="2"/>
      <c r="J635" s="3">
        <f>IF(A635="Upgrade",IF(OR(H635=4,H635=5),VLOOKUP(I635,'Renewal Rates'!$A$22:$B$27,2,FALSE),2.7%),IF(A635="Renewal",100%,0%))</f>
        <v>2.7000000000000003E-2</v>
      </c>
      <c r="K635" s="2" t="s">
        <v>22</v>
      </c>
      <c r="L635" s="2">
        <v>377</v>
      </c>
      <c r="M635" s="2" t="s">
        <v>23</v>
      </c>
      <c r="N635" s="2" t="s">
        <v>24</v>
      </c>
      <c r="O635" s="4">
        <v>75332</v>
      </c>
      <c r="P635" s="4">
        <v>4668</v>
      </c>
      <c r="Q635" s="4">
        <v>25613</v>
      </c>
      <c r="R635" s="4">
        <v>100945</v>
      </c>
      <c r="S635" s="5">
        <v>0.4</v>
      </c>
      <c r="T635" s="4">
        <v>40378</v>
      </c>
      <c r="U635" s="4">
        <v>141324</v>
      </c>
      <c r="V635" s="6">
        <f t="shared" si="18"/>
        <v>3815.7480000000005</v>
      </c>
      <c r="W635" s="6">
        <f t="shared" si="19"/>
        <v>137508.25200000001</v>
      </c>
    </row>
    <row r="636" spans="1:23" x14ac:dyDescent="0.3">
      <c r="A636" s="2" t="s">
        <v>21</v>
      </c>
      <c r="B636" s="2">
        <v>18.007999999999999</v>
      </c>
      <c r="C636" s="2">
        <v>2000930015</v>
      </c>
      <c r="D636" s="2">
        <v>21.3</v>
      </c>
      <c r="E636" s="2"/>
      <c r="F636" s="2">
        <v>225</v>
      </c>
      <c r="G636" s="2">
        <v>675</v>
      </c>
      <c r="H636" s="2"/>
      <c r="I636" s="2"/>
      <c r="J636" s="3">
        <f>IF(A636="Upgrade",IF(OR(H636=4,H636=5),VLOOKUP(I636,'Renewal Rates'!$A$22:$B$27,2,FALSE),2.7%),IF(A636="Renewal",100%,0%))</f>
        <v>2.7000000000000003E-2</v>
      </c>
      <c r="K636" s="2" t="s">
        <v>22</v>
      </c>
      <c r="L636" s="2">
        <v>377</v>
      </c>
      <c r="M636" s="2" t="s">
        <v>23</v>
      </c>
      <c r="N636" s="2" t="s">
        <v>24</v>
      </c>
      <c r="O636" s="4">
        <v>137786</v>
      </c>
      <c r="P636" s="4">
        <v>6465</v>
      </c>
      <c r="Q636" s="4">
        <v>46847</v>
      </c>
      <c r="R636" s="4">
        <v>184633</v>
      </c>
      <c r="S636" s="5">
        <v>0.4</v>
      </c>
      <c r="T636" s="4">
        <v>73853</v>
      </c>
      <c r="U636" s="4">
        <v>258487</v>
      </c>
      <c r="V636" s="6">
        <f t="shared" si="18"/>
        <v>6979.1490000000013</v>
      </c>
      <c r="W636" s="6">
        <f t="shared" si="19"/>
        <v>251507.851</v>
      </c>
    </row>
    <row r="637" spans="1:23" x14ac:dyDescent="0.3">
      <c r="A637" s="2" t="s">
        <v>21</v>
      </c>
      <c r="B637" s="2">
        <v>18.007999999999999</v>
      </c>
      <c r="C637" s="2">
        <v>2000056987</v>
      </c>
      <c r="D637" s="2">
        <v>44.9</v>
      </c>
      <c r="E637" s="2"/>
      <c r="F637" s="2">
        <v>375</v>
      </c>
      <c r="G637" s="2">
        <v>675</v>
      </c>
      <c r="H637" s="2"/>
      <c r="I637" s="2"/>
      <c r="J637" s="3">
        <f>IF(A637="Upgrade",IF(OR(H637=4,H637=5),VLOOKUP(I637,'Renewal Rates'!$A$22:$B$27,2,FALSE),2.7%),IF(A637="Renewal",100%,0%))</f>
        <v>2.7000000000000003E-2</v>
      </c>
      <c r="K637" s="2" t="s">
        <v>22</v>
      </c>
      <c r="L637" s="2">
        <v>377</v>
      </c>
      <c r="M637" s="2" t="s">
        <v>23</v>
      </c>
      <c r="N637" s="2" t="s">
        <v>24</v>
      </c>
      <c r="O637" s="4">
        <v>181471</v>
      </c>
      <c r="P637" s="4">
        <v>4043</v>
      </c>
      <c r="Q637" s="4">
        <v>61700</v>
      </c>
      <c r="R637" s="4">
        <v>243171</v>
      </c>
      <c r="S637" s="5">
        <v>0.4</v>
      </c>
      <c r="T637" s="4">
        <v>97268</v>
      </c>
      <c r="U637" s="4">
        <v>340439</v>
      </c>
      <c r="V637" s="6">
        <f t="shared" si="18"/>
        <v>9191.853000000001</v>
      </c>
      <c r="W637" s="6">
        <f t="shared" si="19"/>
        <v>331247.147</v>
      </c>
    </row>
    <row r="638" spans="1:23" x14ac:dyDescent="0.3">
      <c r="A638" s="2" t="s">
        <v>21</v>
      </c>
      <c r="B638" s="2">
        <v>15.018000000000001</v>
      </c>
      <c r="C638" s="2">
        <v>2000305026</v>
      </c>
      <c r="D638" s="2">
        <v>8.3000000000000007</v>
      </c>
      <c r="E638" s="2"/>
      <c r="F638" s="2">
        <v>750</v>
      </c>
      <c r="G638" s="2">
        <v>525</v>
      </c>
      <c r="H638" s="2"/>
      <c r="I638" s="2"/>
      <c r="J638" s="3">
        <f>IF(A638="Upgrade",IF(OR(H638=4,H638=5),VLOOKUP(I638,'Renewal Rates'!$A$22:$B$27,2,FALSE),2.7%),IF(A638="Renewal",100%,0%))</f>
        <v>2.7000000000000003E-2</v>
      </c>
      <c r="K638" s="2" t="s">
        <v>22</v>
      </c>
      <c r="L638" s="2">
        <v>377</v>
      </c>
      <c r="M638" s="2" t="s">
        <v>23</v>
      </c>
      <c r="N638" s="2" t="s">
        <v>24</v>
      </c>
      <c r="O638" s="4">
        <v>67578</v>
      </c>
      <c r="P638" s="4">
        <v>8112</v>
      </c>
      <c r="Q638" s="4">
        <v>22976</v>
      </c>
      <c r="R638" s="4">
        <v>90554</v>
      </c>
      <c r="S638" s="5">
        <v>0.4</v>
      </c>
      <c r="T638" s="4">
        <v>36222</v>
      </c>
      <c r="U638" s="4">
        <v>126776</v>
      </c>
      <c r="V638" s="6">
        <f t="shared" si="18"/>
        <v>3422.9520000000002</v>
      </c>
      <c r="W638" s="6">
        <f t="shared" si="19"/>
        <v>123353.048</v>
      </c>
    </row>
    <row r="639" spans="1:23" x14ac:dyDescent="0.3">
      <c r="A639" s="2" t="s">
        <v>21</v>
      </c>
      <c r="B639" s="2">
        <v>15.018000000000001</v>
      </c>
      <c r="C639" s="2">
        <v>2000411898</v>
      </c>
      <c r="D639" s="2">
        <v>32</v>
      </c>
      <c r="E639" s="2"/>
      <c r="F639" s="2">
        <v>600</v>
      </c>
      <c r="G639" s="2">
        <v>525</v>
      </c>
      <c r="H639" s="2"/>
      <c r="I639" s="2"/>
      <c r="J639" s="3">
        <f>IF(A639="Upgrade",IF(OR(H639=4,H639=5),VLOOKUP(I639,'Renewal Rates'!$A$22:$B$27,2,FALSE),2.7%),IF(A639="Renewal",100%,0%))</f>
        <v>2.7000000000000003E-2</v>
      </c>
      <c r="K639" s="2" t="s">
        <v>22</v>
      </c>
      <c r="L639" s="2">
        <v>377</v>
      </c>
      <c r="M639" s="2" t="s">
        <v>23</v>
      </c>
      <c r="N639" s="2" t="s">
        <v>24</v>
      </c>
      <c r="O639" s="4">
        <v>110751</v>
      </c>
      <c r="P639" s="4">
        <v>3459</v>
      </c>
      <c r="Q639" s="4">
        <v>37655</v>
      </c>
      <c r="R639" s="4">
        <v>148407</v>
      </c>
      <c r="S639" s="5">
        <v>0.4</v>
      </c>
      <c r="T639" s="4">
        <v>59363</v>
      </c>
      <c r="U639" s="4">
        <v>207770</v>
      </c>
      <c r="V639" s="6">
        <f t="shared" si="18"/>
        <v>5609.7900000000009</v>
      </c>
      <c r="W639" s="6">
        <f t="shared" si="19"/>
        <v>202160.21</v>
      </c>
    </row>
    <row r="640" spans="1:23" x14ac:dyDescent="0.3">
      <c r="A640" s="2" t="s">
        <v>21</v>
      </c>
      <c r="B640" s="2">
        <v>18.010000000000002</v>
      </c>
      <c r="C640" s="2">
        <v>2000419406</v>
      </c>
      <c r="D640" s="2">
        <v>26.2</v>
      </c>
      <c r="E640" s="2"/>
      <c r="F640" s="2">
        <v>600</v>
      </c>
      <c r="G640" s="2">
        <v>600</v>
      </c>
      <c r="H640" s="2"/>
      <c r="I640" s="2"/>
      <c r="J640" s="3">
        <f>IF(A640="Upgrade",IF(OR(H640=4,H640=5),VLOOKUP(I640,'Renewal Rates'!$A$22:$B$27,2,FALSE),2.7%),IF(A640="Renewal",100%,0%))</f>
        <v>2.7000000000000003E-2</v>
      </c>
      <c r="K640" s="2" t="s">
        <v>22</v>
      </c>
      <c r="L640" s="2">
        <v>377</v>
      </c>
      <c r="M640" s="2" t="s">
        <v>23</v>
      </c>
      <c r="N640" s="2" t="s">
        <v>24</v>
      </c>
      <c r="O640" s="4">
        <v>109432</v>
      </c>
      <c r="P640" s="4">
        <v>4177</v>
      </c>
      <c r="Q640" s="4">
        <v>37207</v>
      </c>
      <c r="R640" s="4">
        <v>146638</v>
      </c>
      <c r="S640" s="5">
        <v>0.4</v>
      </c>
      <c r="T640" s="4">
        <v>58655</v>
      </c>
      <c r="U640" s="4">
        <v>205294</v>
      </c>
      <c r="V640" s="6">
        <f t="shared" si="18"/>
        <v>5542.938000000001</v>
      </c>
      <c r="W640" s="6">
        <f t="shared" si="19"/>
        <v>199751.06200000001</v>
      </c>
    </row>
    <row r="641" spans="1:23" x14ac:dyDescent="0.3">
      <c r="A641" s="2" t="s">
        <v>21</v>
      </c>
      <c r="B641" s="2" t="s">
        <v>40</v>
      </c>
      <c r="C641" s="2">
        <v>2000779948</v>
      </c>
      <c r="D641" s="2">
        <v>31.5</v>
      </c>
      <c r="E641" s="2"/>
      <c r="F641" s="2">
        <v>450</v>
      </c>
      <c r="G641" s="2">
        <v>975</v>
      </c>
      <c r="H641" s="2"/>
      <c r="I641" s="2"/>
      <c r="J641" s="3">
        <f>IF(A641="Upgrade",IF(OR(H641=4,H641=5),VLOOKUP(I641,'Renewal Rates'!$A$22:$B$27,2,FALSE),2.7%),IF(A641="Renewal",100%,0%))</f>
        <v>2.7000000000000003E-2</v>
      </c>
      <c r="K641" s="2" t="s">
        <v>22</v>
      </c>
      <c r="L641" s="2">
        <v>376</v>
      </c>
      <c r="M641" s="2" t="s">
        <v>23</v>
      </c>
      <c r="N641" s="2" t="s">
        <v>24</v>
      </c>
      <c r="O641" s="4">
        <v>255202</v>
      </c>
      <c r="P641" s="4">
        <v>8100</v>
      </c>
      <c r="Q641" s="4">
        <v>86769</v>
      </c>
      <c r="R641" s="4">
        <v>341970</v>
      </c>
      <c r="S641" s="5">
        <v>0.4</v>
      </c>
      <c r="T641" s="4">
        <v>136788</v>
      </c>
      <c r="U641" s="4">
        <v>478759</v>
      </c>
      <c r="V641" s="6">
        <f t="shared" si="18"/>
        <v>12926.493000000002</v>
      </c>
      <c r="W641" s="6">
        <f t="shared" si="19"/>
        <v>465832.50699999998</v>
      </c>
    </row>
    <row r="642" spans="1:23" x14ac:dyDescent="0.3">
      <c r="A642" s="2" t="s">
        <v>21</v>
      </c>
      <c r="B642" s="2" t="s">
        <v>41</v>
      </c>
      <c r="C642" s="2">
        <v>2000633756</v>
      </c>
      <c r="D642" s="2">
        <v>21.7</v>
      </c>
      <c r="E642" s="2"/>
      <c r="F642" s="2">
        <v>225</v>
      </c>
      <c r="G642" s="2">
        <v>450</v>
      </c>
      <c r="H642" s="2"/>
      <c r="I642" s="2"/>
      <c r="J642" s="3">
        <f>IF(A642="Upgrade",IF(OR(H642=4,H642=5),VLOOKUP(I642,'Renewal Rates'!$A$22:$B$27,2,FALSE),2.7%),IF(A642="Renewal",100%,0%))</f>
        <v>2.7000000000000003E-2</v>
      </c>
      <c r="K642" s="2" t="s">
        <v>22</v>
      </c>
      <c r="L642" s="2">
        <v>376</v>
      </c>
      <c r="M642" s="2" t="s">
        <v>23</v>
      </c>
      <c r="N642" s="2" t="s">
        <v>24</v>
      </c>
      <c r="O642" s="4">
        <v>79308</v>
      </c>
      <c r="P642" s="4">
        <v>3652</v>
      </c>
      <c r="Q642" s="4">
        <v>26965</v>
      </c>
      <c r="R642" s="4">
        <v>106272</v>
      </c>
      <c r="S642" s="5">
        <v>0.4</v>
      </c>
      <c r="T642" s="4">
        <v>42509</v>
      </c>
      <c r="U642" s="4">
        <v>148781</v>
      </c>
      <c r="V642" s="6">
        <f t="shared" si="18"/>
        <v>4017.0870000000004</v>
      </c>
      <c r="W642" s="6">
        <f t="shared" si="19"/>
        <v>144763.913</v>
      </c>
    </row>
    <row r="643" spans="1:23" x14ac:dyDescent="0.3">
      <c r="A643" s="2" t="s">
        <v>25</v>
      </c>
      <c r="B643" s="2" t="s">
        <v>42</v>
      </c>
      <c r="C643" s="2"/>
      <c r="D643" s="2"/>
      <c r="E643" s="2">
        <v>70.900000000000006</v>
      </c>
      <c r="F643" s="2"/>
      <c r="G643" s="2">
        <v>450</v>
      </c>
      <c r="H643" s="2"/>
      <c r="I643" s="2"/>
      <c r="J643" s="3">
        <f>IF(A643="Upgrade",IF(OR(H643=4,H643=5),VLOOKUP(I643,'Renewal Rates'!$A$22:$B$27,2,FALSE),2.7%),IF(A643="Renewal",100%,0%))</f>
        <v>0</v>
      </c>
      <c r="K643" s="2" t="s">
        <v>22</v>
      </c>
      <c r="L643" s="2">
        <v>376</v>
      </c>
      <c r="M643" s="2" t="s">
        <v>23</v>
      </c>
      <c r="N643" s="2" t="s">
        <v>24</v>
      </c>
      <c r="O643" s="4">
        <v>191995</v>
      </c>
      <c r="P643" s="4">
        <v>2709</v>
      </c>
      <c r="Q643" s="4">
        <v>65278</v>
      </c>
      <c r="R643" s="4">
        <v>257274</v>
      </c>
      <c r="S643" s="5">
        <v>0.4</v>
      </c>
      <c r="T643" s="4">
        <v>102909</v>
      </c>
      <c r="U643" s="4">
        <v>360183</v>
      </c>
      <c r="V643" s="6">
        <f t="shared" ref="V643:V706" si="20">J643*U643</f>
        <v>0</v>
      </c>
      <c r="W643" s="6">
        <f t="shared" ref="W643:W706" si="21">U643-V643</f>
        <v>360183</v>
      </c>
    </row>
    <row r="644" spans="1:23" x14ac:dyDescent="0.3">
      <c r="A644" s="2" t="s">
        <v>21</v>
      </c>
      <c r="B644" s="2" t="s">
        <v>43</v>
      </c>
      <c r="C644" s="2">
        <v>2000532991</v>
      </c>
      <c r="D644" s="2">
        <v>57.2</v>
      </c>
      <c r="E644" s="2"/>
      <c r="F644" s="2">
        <v>375</v>
      </c>
      <c r="G644" s="2">
        <v>825</v>
      </c>
      <c r="H644" s="2">
        <v>4</v>
      </c>
      <c r="I644" s="2">
        <v>4</v>
      </c>
      <c r="J644" s="3">
        <f>IF(A644="Upgrade",IF(OR(H644=4,H644=5),VLOOKUP(I644,'Renewal Rates'!$A$22:$B$27,2,FALSE),2.7%),IF(A644="Renewal",100%,0%))</f>
        <v>0.7</v>
      </c>
      <c r="K644" s="2" t="s">
        <v>22</v>
      </c>
      <c r="L644" s="2">
        <v>376</v>
      </c>
      <c r="M644" s="2" t="s">
        <v>23</v>
      </c>
      <c r="N644" s="2" t="s">
        <v>24</v>
      </c>
      <c r="O644" s="4">
        <v>276868</v>
      </c>
      <c r="P644" s="4">
        <v>4842</v>
      </c>
      <c r="Q644" s="4">
        <v>94135</v>
      </c>
      <c r="R644" s="4">
        <v>371004</v>
      </c>
      <c r="S644" s="5">
        <v>0.4</v>
      </c>
      <c r="T644" s="4">
        <v>148401</v>
      </c>
      <c r="U644" s="4">
        <v>519405</v>
      </c>
      <c r="V644" s="6">
        <f t="shared" si="20"/>
        <v>363583.5</v>
      </c>
      <c r="W644" s="6">
        <f t="shared" si="21"/>
        <v>155821.5</v>
      </c>
    </row>
    <row r="645" spans="1:23" x14ac:dyDescent="0.3">
      <c r="A645" s="2" t="s">
        <v>21</v>
      </c>
      <c r="B645" s="2" t="s">
        <v>44</v>
      </c>
      <c r="C645" s="2">
        <v>2000705498</v>
      </c>
      <c r="D645" s="2">
        <v>56.1</v>
      </c>
      <c r="E645" s="2"/>
      <c r="F645" s="2">
        <v>225</v>
      </c>
      <c r="G645" s="2">
        <v>750</v>
      </c>
      <c r="H645" s="2"/>
      <c r="I645" s="2"/>
      <c r="J645" s="3">
        <f>IF(A645="Upgrade",IF(OR(H645=4,H645=5),VLOOKUP(I645,'Renewal Rates'!$A$22:$B$27,2,FALSE),2.7%),IF(A645="Renewal",100%,0%))</f>
        <v>2.7000000000000003E-2</v>
      </c>
      <c r="K645" s="2" t="s">
        <v>22</v>
      </c>
      <c r="L645" s="2">
        <v>376</v>
      </c>
      <c r="M645" s="2" t="s">
        <v>23</v>
      </c>
      <c r="N645" s="2" t="s">
        <v>24</v>
      </c>
      <c r="O645" s="4">
        <v>247511</v>
      </c>
      <c r="P645" s="4">
        <v>4412</v>
      </c>
      <c r="Q645" s="4">
        <v>84154</v>
      </c>
      <c r="R645" s="4">
        <v>331664</v>
      </c>
      <c r="S645" s="5">
        <v>0.4</v>
      </c>
      <c r="T645" s="4">
        <v>132666</v>
      </c>
      <c r="U645" s="4">
        <v>464330</v>
      </c>
      <c r="V645" s="6">
        <f t="shared" si="20"/>
        <v>12536.910000000002</v>
      </c>
      <c r="W645" s="6">
        <f t="shared" si="21"/>
        <v>451793.09</v>
      </c>
    </row>
    <row r="646" spans="1:23" x14ac:dyDescent="0.3">
      <c r="A646" s="2" t="s">
        <v>21</v>
      </c>
      <c r="B646" s="2" t="s">
        <v>44</v>
      </c>
      <c r="C646" s="2">
        <v>2000158150</v>
      </c>
      <c r="D646" s="2">
        <v>33.6</v>
      </c>
      <c r="E646" s="2"/>
      <c r="F646" s="2">
        <v>225</v>
      </c>
      <c r="G646" s="2">
        <v>750</v>
      </c>
      <c r="H646" s="2"/>
      <c r="I646" s="2"/>
      <c r="J646" s="3">
        <f>IF(A646="Upgrade",IF(OR(H646=4,H646=5),VLOOKUP(I646,'Renewal Rates'!$A$22:$B$27,2,FALSE),2.7%),IF(A646="Renewal",100%,0%))</f>
        <v>2.7000000000000003E-2</v>
      </c>
      <c r="K646" s="2" t="s">
        <v>22</v>
      </c>
      <c r="L646" s="2">
        <v>376</v>
      </c>
      <c r="M646" s="2" t="s">
        <v>23</v>
      </c>
      <c r="N646" s="2" t="s">
        <v>24</v>
      </c>
      <c r="O646" s="4">
        <v>153553</v>
      </c>
      <c r="P646" s="4">
        <v>4569</v>
      </c>
      <c r="Q646" s="4">
        <v>52208</v>
      </c>
      <c r="R646" s="4">
        <v>205761</v>
      </c>
      <c r="S646" s="5">
        <v>0.4</v>
      </c>
      <c r="T646" s="4">
        <v>82304</v>
      </c>
      <c r="U646" s="4">
        <v>288066</v>
      </c>
      <c r="V646" s="6">
        <f t="shared" si="20"/>
        <v>7777.7820000000011</v>
      </c>
      <c r="W646" s="6">
        <f t="shared" si="21"/>
        <v>280288.21799999999</v>
      </c>
    </row>
    <row r="647" spans="1:23" x14ac:dyDescent="0.3">
      <c r="A647" s="2" t="s">
        <v>21</v>
      </c>
      <c r="B647" s="2" t="s">
        <v>45</v>
      </c>
      <c r="C647" s="2">
        <v>2000628322</v>
      </c>
      <c r="D647" s="2">
        <v>27.7</v>
      </c>
      <c r="E647" s="2"/>
      <c r="F647" s="2">
        <v>300</v>
      </c>
      <c r="G647" s="2">
        <v>600</v>
      </c>
      <c r="H647" s="2">
        <v>4</v>
      </c>
      <c r="I647" s="2">
        <v>3</v>
      </c>
      <c r="J647" s="3">
        <f>IF(A647="Upgrade",IF(OR(H647=4,H647=5),VLOOKUP(I647,'Renewal Rates'!$A$22:$B$27,2,FALSE),2.7%),IF(A647="Renewal",100%,0%))</f>
        <v>0.21</v>
      </c>
      <c r="K647" s="2" t="s">
        <v>22</v>
      </c>
      <c r="L647" s="2">
        <v>376</v>
      </c>
      <c r="M647" s="2" t="s">
        <v>23</v>
      </c>
      <c r="N647" s="2" t="s">
        <v>24</v>
      </c>
      <c r="O647" s="4">
        <v>110981</v>
      </c>
      <c r="P647" s="4">
        <v>4007</v>
      </c>
      <c r="Q647" s="4">
        <v>37733</v>
      </c>
      <c r="R647" s="4">
        <v>148714</v>
      </c>
      <c r="S647" s="5">
        <v>0.4</v>
      </c>
      <c r="T647" s="4">
        <v>59486</v>
      </c>
      <c r="U647" s="4">
        <v>208200</v>
      </c>
      <c r="V647" s="6">
        <f t="shared" si="20"/>
        <v>43722</v>
      </c>
      <c r="W647" s="6">
        <f t="shared" si="21"/>
        <v>164478</v>
      </c>
    </row>
    <row r="648" spans="1:23" x14ac:dyDescent="0.3">
      <c r="A648" s="2" t="s">
        <v>21</v>
      </c>
      <c r="B648" s="2" t="s">
        <v>45</v>
      </c>
      <c r="C648" s="2">
        <v>2000773104</v>
      </c>
      <c r="D648" s="2">
        <v>14.1</v>
      </c>
      <c r="E648" s="2"/>
      <c r="F648" s="2">
        <v>300</v>
      </c>
      <c r="G648" s="2">
        <v>600</v>
      </c>
      <c r="H648" s="2"/>
      <c r="I648" s="2"/>
      <c r="J648" s="3">
        <f>IF(A648="Upgrade",IF(OR(H648=4,H648=5),VLOOKUP(I648,'Renewal Rates'!$A$22:$B$27,2,FALSE),2.7%),IF(A648="Renewal",100%,0%))</f>
        <v>2.7000000000000003E-2</v>
      </c>
      <c r="K648" s="2" t="s">
        <v>22</v>
      </c>
      <c r="L648" s="2">
        <v>376</v>
      </c>
      <c r="M648" s="2" t="s">
        <v>23</v>
      </c>
      <c r="N648" s="2" t="s">
        <v>24</v>
      </c>
      <c r="O648" s="4">
        <v>77441</v>
      </c>
      <c r="P648" s="4">
        <v>5507</v>
      </c>
      <c r="Q648" s="4">
        <v>26330</v>
      </c>
      <c r="R648" s="4">
        <v>103771</v>
      </c>
      <c r="S648" s="5">
        <v>0.4</v>
      </c>
      <c r="T648" s="4">
        <v>41508</v>
      </c>
      <c r="U648" s="4">
        <v>145279</v>
      </c>
      <c r="V648" s="6">
        <f t="shared" si="20"/>
        <v>3922.5330000000004</v>
      </c>
      <c r="W648" s="6">
        <f t="shared" si="21"/>
        <v>141356.467</v>
      </c>
    </row>
    <row r="649" spans="1:23" x14ac:dyDescent="0.3">
      <c r="A649" s="2" t="s">
        <v>21</v>
      </c>
      <c r="B649" s="2" t="s">
        <v>45</v>
      </c>
      <c r="C649" s="2">
        <v>2000015457</v>
      </c>
      <c r="D649" s="2">
        <v>42.5</v>
      </c>
      <c r="E649" s="2"/>
      <c r="F649" s="2">
        <v>300</v>
      </c>
      <c r="G649" s="2">
        <v>600</v>
      </c>
      <c r="H649" s="2">
        <v>4</v>
      </c>
      <c r="I649" s="2">
        <v>3</v>
      </c>
      <c r="J649" s="3">
        <f>IF(A649="Upgrade",IF(OR(H649=4,H649=5),VLOOKUP(I649,'Renewal Rates'!$A$22:$B$27,2,FALSE),2.7%),IF(A649="Renewal",100%,0%))</f>
        <v>0.21</v>
      </c>
      <c r="K649" s="2" t="s">
        <v>22</v>
      </c>
      <c r="L649" s="2">
        <v>376</v>
      </c>
      <c r="M649" s="2" t="s">
        <v>23</v>
      </c>
      <c r="N649" s="2" t="s">
        <v>24</v>
      </c>
      <c r="O649" s="4">
        <v>162110</v>
      </c>
      <c r="P649" s="4">
        <v>3814</v>
      </c>
      <c r="Q649" s="4">
        <v>55117</v>
      </c>
      <c r="R649" s="4">
        <v>217228</v>
      </c>
      <c r="S649" s="5">
        <v>0.4</v>
      </c>
      <c r="T649" s="4">
        <v>86891</v>
      </c>
      <c r="U649" s="4">
        <v>304119</v>
      </c>
      <c r="V649" s="6">
        <f t="shared" si="20"/>
        <v>63864.99</v>
      </c>
      <c r="W649" s="6">
        <f t="shared" si="21"/>
        <v>240254.01</v>
      </c>
    </row>
    <row r="650" spans="1:23" x14ac:dyDescent="0.3">
      <c r="A650" s="2" t="s">
        <v>21</v>
      </c>
      <c r="B650" s="2" t="s">
        <v>46</v>
      </c>
      <c r="C650" s="2">
        <v>2000772131</v>
      </c>
      <c r="D650" s="2">
        <v>17</v>
      </c>
      <c r="E650" s="2"/>
      <c r="F650" s="2">
        <v>375</v>
      </c>
      <c r="G650" s="2">
        <v>525</v>
      </c>
      <c r="H650" s="2"/>
      <c r="I650" s="2"/>
      <c r="J650" s="3">
        <f>IF(A650="Upgrade",IF(OR(H650=4,H650=5),VLOOKUP(I650,'Renewal Rates'!$A$22:$B$27,2,FALSE),2.7%),IF(A650="Renewal",100%,0%))</f>
        <v>2.7000000000000003E-2</v>
      </c>
      <c r="K650" s="2" t="s">
        <v>22</v>
      </c>
      <c r="L650" s="2">
        <v>376</v>
      </c>
      <c r="M650" s="2" t="s">
        <v>23</v>
      </c>
      <c r="N650" s="2" t="s">
        <v>24</v>
      </c>
      <c r="O650" s="4">
        <v>94575</v>
      </c>
      <c r="P650" s="4">
        <v>5566</v>
      </c>
      <c r="Q650" s="4">
        <v>32156</v>
      </c>
      <c r="R650" s="4">
        <v>126731</v>
      </c>
      <c r="S650" s="5">
        <v>0.4</v>
      </c>
      <c r="T650" s="4">
        <v>50692</v>
      </c>
      <c r="U650" s="4">
        <v>177423</v>
      </c>
      <c r="V650" s="6">
        <f t="shared" si="20"/>
        <v>4790.4210000000003</v>
      </c>
      <c r="W650" s="6">
        <f t="shared" si="21"/>
        <v>172632.579</v>
      </c>
    </row>
    <row r="651" spans="1:23" x14ac:dyDescent="0.3">
      <c r="A651" s="2" t="s">
        <v>21</v>
      </c>
      <c r="B651" s="2" t="s">
        <v>46</v>
      </c>
      <c r="C651" s="2">
        <v>2000324833</v>
      </c>
      <c r="D651" s="2">
        <v>23.3</v>
      </c>
      <c r="E651" s="2"/>
      <c r="F651" s="2">
        <v>225</v>
      </c>
      <c r="G651" s="2">
        <v>525</v>
      </c>
      <c r="H651" s="2"/>
      <c r="I651" s="2"/>
      <c r="J651" s="3">
        <f>IF(A651="Upgrade",IF(OR(H651=4,H651=5),VLOOKUP(I651,'Renewal Rates'!$A$22:$B$27,2,FALSE),2.7%),IF(A651="Renewal",100%,0%))</f>
        <v>2.7000000000000003E-2</v>
      </c>
      <c r="K651" s="2" t="s">
        <v>22</v>
      </c>
      <c r="L651" s="2">
        <v>376</v>
      </c>
      <c r="M651" s="2" t="s">
        <v>23</v>
      </c>
      <c r="N651" s="2" t="s">
        <v>24</v>
      </c>
      <c r="O651" s="4">
        <v>100084</v>
      </c>
      <c r="P651" s="4">
        <v>4295</v>
      </c>
      <c r="Q651" s="4">
        <v>34029</v>
      </c>
      <c r="R651" s="4">
        <v>134113</v>
      </c>
      <c r="S651" s="5">
        <v>0.4</v>
      </c>
      <c r="T651" s="4">
        <v>53645</v>
      </c>
      <c r="U651" s="4">
        <v>187758</v>
      </c>
      <c r="V651" s="6">
        <f t="shared" si="20"/>
        <v>5069.4660000000003</v>
      </c>
      <c r="W651" s="6">
        <f t="shared" si="21"/>
        <v>182688.53399999999</v>
      </c>
    </row>
    <row r="652" spans="1:23" x14ac:dyDescent="0.3">
      <c r="A652" s="2" t="s">
        <v>25</v>
      </c>
      <c r="B652" s="2" t="s">
        <v>47</v>
      </c>
      <c r="C652" s="2"/>
      <c r="D652" s="2"/>
      <c r="E652" s="2">
        <v>83.2</v>
      </c>
      <c r="F652" s="2"/>
      <c r="G652" s="2">
        <v>525</v>
      </c>
      <c r="H652" s="2"/>
      <c r="I652" s="2"/>
      <c r="J652" s="3">
        <f>IF(A652="Upgrade",IF(OR(H652=4,H652=5),VLOOKUP(I652,'Renewal Rates'!$A$22:$B$27,2,FALSE),2.7%),IF(A652="Renewal",100%,0%))</f>
        <v>0</v>
      </c>
      <c r="K652" s="2" t="s">
        <v>22</v>
      </c>
      <c r="L652" s="2">
        <v>376</v>
      </c>
      <c r="M652" s="2" t="s">
        <v>23</v>
      </c>
      <c r="N652" s="2" t="s">
        <v>24</v>
      </c>
      <c r="O652" s="4">
        <v>268470</v>
      </c>
      <c r="P652" s="4">
        <v>3225</v>
      </c>
      <c r="Q652" s="4">
        <v>91280</v>
      </c>
      <c r="R652" s="4">
        <v>359750</v>
      </c>
      <c r="S652" s="5">
        <v>0.4</v>
      </c>
      <c r="T652" s="4">
        <v>143900</v>
      </c>
      <c r="U652" s="4">
        <v>503650</v>
      </c>
      <c r="V652" s="6">
        <f t="shared" si="20"/>
        <v>0</v>
      </c>
      <c r="W652" s="6">
        <f t="shared" si="21"/>
        <v>503650</v>
      </c>
    </row>
    <row r="653" spans="1:23" x14ac:dyDescent="0.3">
      <c r="A653" s="2" t="s">
        <v>48</v>
      </c>
      <c r="B653" s="2"/>
      <c r="C653" s="2">
        <v>2000584191</v>
      </c>
      <c r="D653" s="2">
        <v>43.8</v>
      </c>
      <c r="E653" s="2"/>
      <c r="F653" s="2">
        <v>450</v>
      </c>
      <c r="G653" s="2" t="s">
        <v>22</v>
      </c>
      <c r="H653" s="2">
        <v>5</v>
      </c>
      <c r="I653" s="2">
        <v>5</v>
      </c>
      <c r="J653" s="3">
        <f>IF(A653="Upgrade",IF(OR(H653=4,H653=5),VLOOKUP(I653,'Renewal Rates'!$A$22:$B$27,2,FALSE),2.7%),IF(A653="Renewal",100%,0%))</f>
        <v>1</v>
      </c>
      <c r="K653" s="2" t="s">
        <v>22</v>
      </c>
      <c r="L653" s="2">
        <v>377</v>
      </c>
      <c r="M653" s="2" t="s">
        <v>23</v>
      </c>
      <c r="N653" s="2" t="s">
        <v>24</v>
      </c>
      <c r="O653" s="4">
        <v>150314</v>
      </c>
      <c r="P653" s="4">
        <v>3431</v>
      </c>
      <c r="Q653" s="4">
        <v>51107</v>
      </c>
      <c r="R653" s="4">
        <v>201421</v>
      </c>
      <c r="S653" s="5">
        <v>0.4</v>
      </c>
      <c r="T653" s="4">
        <v>80568</v>
      </c>
      <c r="U653" s="4">
        <v>281989</v>
      </c>
      <c r="V653" s="6">
        <f t="shared" si="20"/>
        <v>281989</v>
      </c>
      <c r="W653" s="6">
        <f t="shared" si="21"/>
        <v>0</v>
      </c>
    </row>
    <row r="654" spans="1:23" x14ac:dyDescent="0.3">
      <c r="A654" s="2" t="s">
        <v>48</v>
      </c>
      <c r="B654" s="2"/>
      <c r="C654" s="2">
        <v>3000103017</v>
      </c>
      <c r="D654" s="2">
        <v>50.5</v>
      </c>
      <c r="E654" s="2"/>
      <c r="F654" s="2">
        <v>525</v>
      </c>
      <c r="G654" s="2" t="s">
        <v>22</v>
      </c>
      <c r="H654" s="2">
        <v>5</v>
      </c>
      <c r="I654" s="2">
        <v>5</v>
      </c>
      <c r="J654" s="3">
        <f>IF(A654="Upgrade",IF(OR(H654=4,H654=5),VLOOKUP(I654,'Renewal Rates'!$A$22:$B$27,2,FALSE),2.7%),IF(A654="Renewal",100%,0%))</f>
        <v>1</v>
      </c>
      <c r="K654" s="2" t="s">
        <v>22</v>
      </c>
      <c r="L654" s="2">
        <v>374</v>
      </c>
      <c r="M654" s="2" t="s">
        <v>23</v>
      </c>
      <c r="N654" s="2" t="s">
        <v>24</v>
      </c>
      <c r="O654" s="4">
        <v>181540</v>
      </c>
      <c r="P654" s="4">
        <v>3598</v>
      </c>
      <c r="Q654" s="4">
        <v>61724</v>
      </c>
      <c r="R654" s="4">
        <v>243264</v>
      </c>
      <c r="S654" s="5">
        <v>0.4</v>
      </c>
      <c r="T654" s="4">
        <v>97305</v>
      </c>
      <c r="U654" s="4">
        <v>340569</v>
      </c>
      <c r="V654" s="6">
        <f t="shared" si="20"/>
        <v>340569</v>
      </c>
      <c r="W654" s="6">
        <f t="shared" si="21"/>
        <v>0</v>
      </c>
    </row>
    <row r="655" spans="1:23" x14ac:dyDescent="0.3">
      <c r="A655" s="2" t="s">
        <v>48</v>
      </c>
      <c r="B655" s="2"/>
      <c r="C655" s="2">
        <v>2000148398</v>
      </c>
      <c r="D655" s="2">
        <v>67.900000000000006</v>
      </c>
      <c r="E655" s="2"/>
      <c r="F655" s="2">
        <v>300</v>
      </c>
      <c r="G655" s="2" t="s">
        <v>22</v>
      </c>
      <c r="H655" s="2">
        <v>4</v>
      </c>
      <c r="I655" s="2">
        <v>4</v>
      </c>
      <c r="J655" s="3">
        <f>IF(A655="Upgrade",IF(OR(H655=4,H655=5),VLOOKUP(I655,'Renewal Rates'!$A$22:$B$27,2,FALSE),2.7%),IF(A655="Renewal",100%,0%))</f>
        <v>1</v>
      </c>
      <c r="K655" s="2" t="s">
        <v>22</v>
      </c>
      <c r="L655" s="2">
        <v>377</v>
      </c>
      <c r="M655" s="2" t="s">
        <v>23</v>
      </c>
      <c r="N655" s="2" t="s">
        <v>24</v>
      </c>
      <c r="O655" s="4">
        <v>144757</v>
      </c>
      <c r="P655" s="4">
        <v>2133</v>
      </c>
      <c r="Q655" s="4">
        <v>49217</v>
      </c>
      <c r="R655" s="4">
        <v>193974</v>
      </c>
      <c r="S655" s="5">
        <v>0.4</v>
      </c>
      <c r="T655" s="4">
        <v>77590</v>
      </c>
      <c r="U655" s="4">
        <v>271564</v>
      </c>
      <c r="V655" s="6">
        <f t="shared" si="20"/>
        <v>271564</v>
      </c>
      <c r="W655" s="6">
        <f t="shared" si="21"/>
        <v>0</v>
      </c>
    </row>
    <row r="656" spans="1:23" x14ac:dyDescent="0.3">
      <c r="A656" s="2" t="s">
        <v>48</v>
      </c>
      <c r="B656" s="2"/>
      <c r="C656" s="2">
        <v>2000375402</v>
      </c>
      <c r="D656" s="2">
        <v>84.2</v>
      </c>
      <c r="E656" s="2"/>
      <c r="F656" s="2">
        <v>225</v>
      </c>
      <c r="G656" s="2" t="s">
        <v>22</v>
      </c>
      <c r="H656" s="2">
        <v>4</v>
      </c>
      <c r="I656" s="2">
        <v>4</v>
      </c>
      <c r="J656" s="3">
        <f>IF(A656="Upgrade",IF(OR(H656=4,H656=5),VLOOKUP(I656,'Renewal Rates'!$A$22:$B$27,2,FALSE),2.7%),IF(A656="Renewal",100%,0%))</f>
        <v>1</v>
      </c>
      <c r="K656" s="2" t="s">
        <v>22</v>
      </c>
      <c r="L656" s="2">
        <v>377</v>
      </c>
      <c r="M656" s="2" t="s">
        <v>23</v>
      </c>
      <c r="N656" s="2" t="s">
        <v>24</v>
      </c>
      <c r="O656" s="4">
        <v>138908</v>
      </c>
      <c r="P656" s="4">
        <v>1650</v>
      </c>
      <c r="Q656" s="4">
        <v>47229</v>
      </c>
      <c r="R656" s="4">
        <v>186137</v>
      </c>
      <c r="S656" s="5">
        <v>0.4</v>
      </c>
      <c r="T656" s="4">
        <v>74455</v>
      </c>
      <c r="U656" s="4">
        <v>260592</v>
      </c>
      <c r="V656" s="6">
        <f t="shared" si="20"/>
        <v>260592</v>
      </c>
      <c r="W656" s="6">
        <f t="shared" si="21"/>
        <v>0</v>
      </c>
    </row>
    <row r="657" spans="1:23" x14ac:dyDescent="0.3">
      <c r="A657" s="2" t="s">
        <v>48</v>
      </c>
      <c r="B657" s="2"/>
      <c r="C657" s="2">
        <v>2000601564</v>
      </c>
      <c r="D657" s="2">
        <v>68.8</v>
      </c>
      <c r="E657" s="2"/>
      <c r="F657" s="2">
        <v>300</v>
      </c>
      <c r="G657" s="2" t="s">
        <v>22</v>
      </c>
      <c r="H657" s="2">
        <v>4</v>
      </c>
      <c r="I657" s="2">
        <v>5</v>
      </c>
      <c r="J657" s="3">
        <f>IF(A657="Upgrade",IF(OR(H657=4,H657=5),VLOOKUP(I657,'Renewal Rates'!$A$22:$B$27,2,FALSE),2.7%),IF(A657="Renewal",100%,0%))</f>
        <v>1</v>
      </c>
      <c r="K657" s="2" t="s">
        <v>22</v>
      </c>
      <c r="L657" s="2">
        <v>368</v>
      </c>
      <c r="M657" s="2" t="s">
        <v>23</v>
      </c>
      <c r="N657" s="2" t="s">
        <v>24</v>
      </c>
      <c r="O657" s="4">
        <v>145125</v>
      </c>
      <c r="P657" s="4">
        <v>2110</v>
      </c>
      <c r="Q657" s="4">
        <v>49342</v>
      </c>
      <c r="R657" s="4">
        <v>194467</v>
      </c>
      <c r="S657" s="5">
        <v>0.4</v>
      </c>
      <c r="T657" s="4">
        <v>77787</v>
      </c>
      <c r="U657" s="4">
        <v>272254</v>
      </c>
      <c r="V657" s="6">
        <f t="shared" si="20"/>
        <v>272254</v>
      </c>
      <c r="W657" s="6">
        <f t="shared" si="21"/>
        <v>0</v>
      </c>
    </row>
    <row r="658" spans="1:23" x14ac:dyDescent="0.3">
      <c r="A658" s="2" t="s">
        <v>48</v>
      </c>
      <c r="B658" s="2"/>
      <c r="C658" s="2">
        <v>2000324757</v>
      </c>
      <c r="D658" s="2">
        <v>43.4</v>
      </c>
      <c r="E658" s="2"/>
      <c r="F658" s="2">
        <v>675</v>
      </c>
      <c r="G658" s="2" t="s">
        <v>22</v>
      </c>
      <c r="H658" s="2">
        <v>5</v>
      </c>
      <c r="I658" s="2">
        <v>4</v>
      </c>
      <c r="J658" s="3">
        <f>IF(A658="Upgrade",IF(OR(H658=4,H658=5),VLOOKUP(I658,'Renewal Rates'!$A$22:$B$27,2,FALSE),2.7%),IF(A658="Renewal",100%,0%))</f>
        <v>1</v>
      </c>
      <c r="K658" s="2" t="s">
        <v>22</v>
      </c>
      <c r="L658" s="2">
        <v>385</v>
      </c>
      <c r="M658" s="2" t="s">
        <v>23</v>
      </c>
      <c r="N658" s="2" t="s">
        <v>24</v>
      </c>
      <c r="O658" s="4">
        <v>203107</v>
      </c>
      <c r="P658" s="4">
        <v>4678</v>
      </c>
      <c r="Q658" s="4">
        <v>69057</v>
      </c>
      <c r="R658" s="4">
        <v>272164</v>
      </c>
      <c r="S658" s="5">
        <v>0.4</v>
      </c>
      <c r="T658" s="4">
        <v>108866</v>
      </c>
      <c r="U658" s="4">
        <v>381030</v>
      </c>
      <c r="V658" s="6">
        <f t="shared" si="20"/>
        <v>381030</v>
      </c>
      <c r="W658" s="6">
        <f t="shared" si="21"/>
        <v>0</v>
      </c>
    </row>
    <row r="659" spans="1:23" x14ac:dyDescent="0.3">
      <c r="A659" s="2" t="s">
        <v>48</v>
      </c>
      <c r="B659" s="2"/>
      <c r="C659" s="2">
        <v>2000340150</v>
      </c>
      <c r="D659" s="2">
        <v>48.2</v>
      </c>
      <c r="E659" s="2"/>
      <c r="F659" s="2">
        <v>750</v>
      </c>
      <c r="G659" s="2" t="s">
        <v>22</v>
      </c>
      <c r="H659" s="2">
        <v>5</v>
      </c>
      <c r="I659" s="2">
        <v>4</v>
      </c>
      <c r="J659" s="3">
        <f>IF(A659="Upgrade",IF(OR(H659=4,H659=5),VLOOKUP(I659,'Renewal Rates'!$A$22:$B$27,2,FALSE),2.7%),IF(A659="Renewal",100%,0%))</f>
        <v>1</v>
      </c>
      <c r="K659" s="2" t="s">
        <v>22</v>
      </c>
      <c r="L659" s="2">
        <v>385</v>
      </c>
      <c r="M659" s="2" t="s">
        <v>23</v>
      </c>
      <c r="N659" s="2" t="s">
        <v>24</v>
      </c>
      <c r="O659" s="4">
        <v>235649</v>
      </c>
      <c r="P659" s="4">
        <v>4891</v>
      </c>
      <c r="Q659" s="4">
        <v>80121</v>
      </c>
      <c r="R659" s="4">
        <v>315770</v>
      </c>
      <c r="S659" s="5">
        <v>0.4</v>
      </c>
      <c r="T659" s="4">
        <v>126308</v>
      </c>
      <c r="U659" s="4">
        <v>442078</v>
      </c>
      <c r="V659" s="6">
        <f t="shared" si="20"/>
        <v>442078</v>
      </c>
      <c r="W659" s="6">
        <f t="shared" si="21"/>
        <v>0</v>
      </c>
    </row>
    <row r="660" spans="1:23" x14ac:dyDescent="0.3">
      <c r="A660" s="2" t="s">
        <v>48</v>
      </c>
      <c r="B660" s="2"/>
      <c r="C660" s="2">
        <v>2000656431</v>
      </c>
      <c r="D660" s="2">
        <v>53</v>
      </c>
      <c r="E660" s="2"/>
      <c r="F660" s="2">
        <v>300</v>
      </c>
      <c r="G660" s="2" t="s">
        <v>22</v>
      </c>
      <c r="H660" s="2">
        <v>4</v>
      </c>
      <c r="I660" s="2">
        <v>4</v>
      </c>
      <c r="J660" s="3">
        <f>IF(A660="Upgrade",IF(OR(H660=4,H660=5),VLOOKUP(I660,'Renewal Rates'!$A$22:$B$27,2,FALSE),2.7%),IF(A660="Renewal",100%,0%))</f>
        <v>1</v>
      </c>
      <c r="K660" s="2" t="s">
        <v>22</v>
      </c>
      <c r="L660" s="2">
        <v>385</v>
      </c>
      <c r="M660" s="2" t="s">
        <v>23</v>
      </c>
      <c r="N660" s="2" t="s">
        <v>24</v>
      </c>
      <c r="O660" s="4">
        <v>122703</v>
      </c>
      <c r="P660" s="4">
        <v>2314</v>
      </c>
      <c r="Q660" s="4">
        <v>41719</v>
      </c>
      <c r="R660" s="4">
        <v>164422</v>
      </c>
      <c r="S660" s="5">
        <v>0.4</v>
      </c>
      <c r="T660" s="4">
        <v>65769</v>
      </c>
      <c r="U660" s="4">
        <v>230190</v>
      </c>
      <c r="V660" s="6">
        <f t="shared" si="20"/>
        <v>230190</v>
      </c>
      <c r="W660" s="6">
        <f t="shared" si="21"/>
        <v>0</v>
      </c>
    </row>
    <row r="661" spans="1:23" ht="15" thickBot="1" x14ac:dyDescent="0.35">
      <c r="A661" s="11" t="s">
        <v>48</v>
      </c>
      <c r="B661" s="11"/>
      <c r="C661" s="11">
        <v>2000827966</v>
      </c>
      <c r="D661" s="11">
        <v>11.1</v>
      </c>
      <c r="E661" s="11"/>
      <c r="F661" s="11">
        <v>300</v>
      </c>
      <c r="G661" s="11" t="s">
        <v>22</v>
      </c>
      <c r="H661" s="11">
        <v>4</v>
      </c>
      <c r="I661" s="11">
        <v>4</v>
      </c>
      <c r="J661" s="3">
        <f>IF(A661="Upgrade",IF(OR(H661=4,H661=5),VLOOKUP(I661,'Renewal Rates'!$A$22:$B$27,2,FALSE),2.7%),IF(A661="Renewal",100%,0%))</f>
        <v>1</v>
      </c>
      <c r="K661" s="11" t="s">
        <v>22</v>
      </c>
      <c r="L661" s="11">
        <v>375</v>
      </c>
      <c r="M661" s="11" t="s">
        <v>23</v>
      </c>
      <c r="N661" s="11" t="s">
        <v>24</v>
      </c>
      <c r="O661" s="12">
        <v>56614</v>
      </c>
      <c r="P661" s="12">
        <v>5088</v>
      </c>
      <c r="Q661" s="12">
        <v>19249</v>
      </c>
      <c r="R661" s="12">
        <v>75863</v>
      </c>
      <c r="S661" s="13">
        <v>0.4</v>
      </c>
      <c r="T661" s="12">
        <v>30345</v>
      </c>
      <c r="U661" s="12">
        <v>106208</v>
      </c>
      <c r="V661" s="6">
        <f t="shared" si="20"/>
        <v>106208</v>
      </c>
      <c r="W661" s="6">
        <f t="shared" si="21"/>
        <v>0</v>
      </c>
    </row>
    <row r="662" spans="1:23" x14ac:dyDescent="0.3">
      <c r="A662" s="2" t="s">
        <v>21</v>
      </c>
      <c r="B662" s="2">
        <v>1.0129999999999999</v>
      </c>
      <c r="C662" s="2">
        <v>2000058627</v>
      </c>
      <c r="D662" s="2">
        <v>86</v>
      </c>
      <c r="E662" s="2"/>
      <c r="F662" s="2">
        <v>600</v>
      </c>
      <c r="G662" s="2">
        <v>1050</v>
      </c>
      <c r="H662" s="2">
        <v>4</v>
      </c>
      <c r="I662" s="2">
        <v>3</v>
      </c>
      <c r="J662" s="3">
        <f>IF(A662="Upgrade",IF(OR(H662=4,H662=5),VLOOKUP(I662,'Renewal Rates'!$A$22:$B$27,2,FALSE),2.7%),IF(A662="Renewal",100%,0%))</f>
        <v>0.21</v>
      </c>
      <c r="K662" s="2" t="s">
        <v>35</v>
      </c>
      <c r="L662" s="2">
        <v>385</v>
      </c>
      <c r="M662" s="2" t="s">
        <v>23</v>
      </c>
      <c r="N662" s="2" t="s">
        <v>24</v>
      </c>
      <c r="O662" s="4">
        <v>589963</v>
      </c>
      <c r="P662" s="4">
        <v>6860</v>
      </c>
      <c r="Q662" s="4">
        <v>200587</v>
      </c>
      <c r="R662" s="4">
        <v>790550</v>
      </c>
      <c r="S662" s="5">
        <v>0.4</v>
      </c>
      <c r="T662" s="4">
        <v>316220</v>
      </c>
      <c r="U662" s="4">
        <v>1106771</v>
      </c>
      <c r="V662" s="6">
        <f t="shared" si="20"/>
        <v>232421.91</v>
      </c>
      <c r="W662" s="6">
        <f t="shared" si="21"/>
        <v>874349.09</v>
      </c>
    </row>
    <row r="663" spans="1:23" x14ac:dyDescent="0.3">
      <c r="A663" s="2" t="s">
        <v>21</v>
      </c>
      <c r="B663" s="2">
        <v>1.0129999999999999</v>
      </c>
      <c r="C663" s="2">
        <v>2000844010</v>
      </c>
      <c r="D663" s="2">
        <v>115.8</v>
      </c>
      <c r="E663" s="2"/>
      <c r="F663" s="2">
        <v>600</v>
      </c>
      <c r="G663" s="2">
        <v>1050</v>
      </c>
      <c r="H663" s="2"/>
      <c r="I663" s="2"/>
      <c r="J663" s="3">
        <f>IF(A663="Upgrade",IF(OR(H663=4,H663=5),VLOOKUP(I663,'Renewal Rates'!$A$22:$B$27,2,FALSE),2.7%),IF(A663="Renewal",100%,0%))</f>
        <v>2.7000000000000003E-2</v>
      </c>
      <c r="K663" s="2" t="s">
        <v>35</v>
      </c>
      <c r="L663" s="2">
        <v>385</v>
      </c>
      <c r="M663" s="2" t="s">
        <v>23</v>
      </c>
      <c r="N663" s="2" t="s">
        <v>24</v>
      </c>
      <c r="O663" s="4">
        <v>762838</v>
      </c>
      <c r="P663" s="4">
        <v>6589</v>
      </c>
      <c r="Q663" s="4">
        <v>259365</v>
      </c>
      <c r="R663" s="4">
        <v>1022203</v>
      </c>
      <c r="S663" s="5">
        <v>0.4</v>
      </c>
      <c r="T663" s="4">
        <v>408881</v>
      </c>
      <c r="U663" s="4">
        <v>1431084</v>
      </c>
      <c r="V663" s="6">
        <f t="shared" si="20"/>
        <v>38639.268000000004</v>
      </c>
      <c r="W663" s="6">
        <f t="shared" si="21"/>
        <v>1392444.7320000001</v>
      </c>
    </row>
    <row r="664" spans="1:23" x14ac:dyDescent="0.3">
      <c r="A664" s="2" t="s">
        <v>21</v>
      </c>
      <c r="B664" s="2">
        <v>1.0129999999999999</v>
      </c>
      <c r="C664" s="2">
        <v>2000498982</v>
      </c>
      <c r="D664" s="2">
        <v>22.7</v>
      </c>
      <c r="E664" s="2">
        <v>0</v>
      </c>
      <c r="F664" s="2">
        <v>600</v>
      </c>
      <c r="G664" s="2">
        <v>1050</v>
      </c>
      <c r="H664" s="2"/>
      <c r="I664" s="2"/>
      <c r="J664" s="3">
        <f>IF(A664="Upgrade",IF(OR(H664=4,H664=5),VLOOKUP(I664,'Renewal Rates'!$A$22:$B$27,2,FALSE),2.7%),IF(A664="Renewal",100%,0%))</f>
        <v>2.7000000000000003E-2</v>
      </c>
      <c r="K664" s="2" t="s">
        <v>35</v>
      </c>
      <c r="L664" s="2">
        <v>385</v>
      </c>
      <c r="M664" s="2" t="s">
        <v>23</v>
      </c>
      <c r="N664" s="2" t="s">
        <v>24</v>
      </c>
      <c r="O664" s="4">
        <v>180556</v>
      </c>
      <c r="P664" s="4">
        <v>7945</v>
      </c>
      <c r="Q664" s="4">
        <v>61389</v>
      </c>
      <c r="R664" s="4">
        <v>241945</v>
      </c>
      <c r="S664" s="5">
        <v>0.4</v>
      </c>
      <c r="T664" s="4">
        <v>96778</v>
      </c>
      <c r="U664" s="4">
        <v>338723</v>
      </c>
      <c r="V664" s="6">
        <f t="shared" si="20"/>
        <v>9145.5210000000006</v>
      </c>
      <c r="W664" s="6">
        <f t="shared" si="21"/>
        <v>329577.47899999999</v>
      </c>
    </row>
    <row r="665" spans="1:23" x14ac:dyDescent="0.3">
      <c r="A665" s="2" t="s">
        <v>21</v>
      </c>
      <c r="B665" s="2">
        <v>1.0129999999999999</v>
      </c>
      <c r="C665" s="2">
        <v>2000604018</v>
      </c>
      <c r="D665" s="2">
        <v>97.6</v>
      </c>
      <c r="E665" s="2">
        <v>0</v>
      </c>
      <c r="F665" s="2">
        <v>600</v>
      </c>
      <c r="G665" s="2">
        <v>1050</v>
      </c>
      <c r="H665" s="2"/>
      <c r="I665" s="2"/>
      <c r="J665" s="3">
        <f>IF(A665="Upgrade",IF(OR(H665=4,H665=5),VLOOKUP(I665,'Renewal Rates'!$A$22:$B$27,2,FALSE),2.7%),IF(A665="Renewal",100%,0%))</f>
        <v>2.7000000000000003E-2</v>
      </c>
      <c r="K665" s="2" t="s">
        <v>35</v>
      </c>
      <c r="L665" s="2">
        <v>385</v>
      </c>
      <c r="M665" s="2" t="s">
        <v>23</v>
      </c>
      <c r="N665" s="2" t="s">
        <v>24</v>
      </c>
      <c r="O665" s="4">
        <v>619722</v>
      </c>
      <c r="P665" s="4">
        <v>6352</v>
      </c>
      <c r="Q665" s="4">
        <v>210706</v>
      </c>
      <c r="R665" s="4">
        <v>830428</v>
      </c>
      <c r="S665" s="5">
        <v>0.4</v>
      </c>
      <c r="T665" s="4">
        <v>332171</v>
      </c>
      <c r="U665" s="4">
        <v>1162599</v>
      </c>
      <c r="V665" s="6">
        <f t="shared" si="20"/>
        <v>31390.173000000003</v>
      </c>
      <c r="W665" s="6">
        <f t="shared" si="21"/>
        <v>1131208.827</v>
      </c>
    </row>
    <row r="666" spans="1:23" x14ac:dyDescent="0.3">
      <c r="A666" s="2" t="s">
        <v>21</v>
      </c>
      <c r="B666" s="2">
        <v>1.0189999999999999</v>
      </c>
      <c r="C666" s="2">
        <v>2000827921</v>
      </c>
      <c r="D666" s="2">
        <v>108.9</v>
      </c>
      <c r="E666" s="2">
        <v>0</v>
      </c>
      <c r="F666" s="2">
        <v>450</v>
      </c>
      <c r="G666" s="2">
        <v>900</v>
      </c>
      <c r="H666" s="2"/>
      <c r="I666" s="2"/>
      <c r="J666" s="3">
        <f>IF(A666="Upgrade",IF(OR(H666=4,H666=5),VLOOKUP(I666,'Renewal Rates'!$A$22:$B$27,2,FALSE),2.7%),IF(A666="Renewal",100%,0%))</f>
        <v>2.7000000000000003E-2</v>
      </c>
      <c r="K666" s="2" t="s">
        <v>35</v>
      </c>
      <c r="L666" s="2">
        <v>385</v>
      </c>
      <c r="M666" s="2" t="s">
        <v>23</v>
      </c>
      <c r="N666" s="2" t="s">
        <v>24</v>
      </c>
      <c r="O666" s="4">
        <v>577914</v>
      </c>
      <c r="P666" s="4">
        <v>5305</v>
      </c>
      <c r="Q666" s="4">
        <v>196491</v>
      </c>
      <c r="R666" s="4">
        <v>774405</v>
      </c>
      <c r="S666" s="5">
        <v>0.4</v>
      </c>
      <c r="T666" s="4">
        <v>309762</v>
      </c>
      <c r="U666" s="4">
        <v>1084166</v>
      </c>
      <c r="V666" s="6">
        <f t="shared" si="20"/>
        <v>29272.482000000004</v>
      </c>
      <c r="W666" s="6">
        <f t="shared" si="21"/>
        <v>1054893.5179999999</v>
      </c>
    </row>
    <row r="667" spans="1:23" x14ac:dyDescent="0.3">
      <c r="A667" s="2" t="s">
        <v>21</v>
      </c>
      <c r="B667" s="2">
        <v>1.0149999999999999</v>
      </c>
      <c r="C667" s="2">
        <v>2000325732</v>
      </c>
      <c r="D667" s="2">
        <v>64.8</v>
      </c>
      <c r="E667" s="2"/>
      <c r="F667" s="2">
        <v>300</v>
      </c>
      <c r="G667" s="2">
        <v>675</v>
      </c>
      <c r="H667" s="2"/>
      <c r="I667" s="2"/>
      <c r="J667" s="3">
        <f>IF(A667="Upgrade",IF(OR(H667=4,H667=5),VLOOKUP(I667,'Renewal Rates'!$A$22:$B$27,2,FALSE),2.7%),IF(A667="Renewal",100%,0%))</f>
        <v>2.7000000000000003E-2</v>
      </c>
      <c r="K667" s="2" t="s">
        <v>49</v>
      </c>
      <c r="L667" s="2">
        <v>385</v>
      </c>
      <c r="M667" s="2" t="s">
        <v>23</v>
      </c>
      <c r="N667" s="2" t="s">
        <v>24</v>
      </c>
      <c r="O667" s="4">
        <v>269152</v>
      </c>
      <c r="P667" s="4">
        <v>4152</v>
      </c>
      <c r="Q667" s="4">
        <v>91512</v>
      </c>
      <c r="R667" s="4">
        <v>360664</v>
      </c>
      <c r="S667" s="5">
        <v>0.4</v>
      </c>
      <c r="T667" s="4">
        <v>144266</v>
      </c>
      <c r="U667" s="4">
        <v>504930</v>
      </c>
      <c r="V667" s="6">
        <f t="shared" si="20"/>
        <v>13633.110000000002</v>
      </c>
      <c r="W667" s="6">
        <f t="shared" si="21"/>
        <v>491296.89</v>
      </c>
    </row>
    <row r="668" spans="1:23" x14ac:dyDescent="0.3">
      <c r="A668" s="2" t="s">
        <v>21</v>
      </c>
      <c r="B668" s="2">
        <v>1.0149999999999999</v>
      </c>
      <c r="C668" s="2">
        <v>2000238785</v>
      </c>
      <c r="D668" s="2">
        <v>66.5</v>
      </c>
      <c r="E668" s="2"/>
      <c r="F668" s="2">
        <v>225</v>
      </c>
      <c r="G668" s="2">
        <v>675</v>
      </c>
      <c r="H668" s="2"/>
      <c r="I668" s="2"/>
      <c r="J668" s="3">
        <f>IF(A668="Upgrade",IF(OR(H668=4,H668=5),VLOOKUP(I668,'Renewal Rates'!$A$22:$B$27,2,FALSE),2.7%),IF(A668="Renewal",100%,0%))</f>
        <v>2.7000000000000003E-2</v>
      </c>
      <c r="K668" s="2" t="s">
        <v>49</v>
      </c>
      <c r="L668" s="2">
        <v>385</v>
      </c>
      <c r="M668" s="2" t="s">
        <v>23</v>
      </c>
      <c r="N668" s="2" t="s">
        <v>24</v>
      </c>
      <c r="O668" s="4">
        <v>271197</v>
      </c>
      <c r="P668" s="4">
        <v>4076</v>
      </c>
      <c r="Q668" s="4">
        <v>92207</v>
      </c>
      <c r="R668" s="4">
        <v>363404</v>
      </c>
      <c r="S668" s="5">
        <v>0.4</v>
      </c>
      <c r="T668" s="4">
        <v>145362</v>
      </c>
      <c r="U668" s="4">
        <v>508766</v>
      </c>
      <c r="V668" s="6">
        <f t="shared" si="20"/>
        <v>13736.682000000003</v>
      </c>
      <c r="W668" s="6">
        <f t="shared" si="21"/>
        <v>495029.31799999997</v>
      </c>
    </row>
    <row r="669" spans="1:23" x14ac:dyDescent="0.3">
      <c r="A669" s="2" t="s">
        <v>21</v>
      </c>
      <c r="B669" s="2">
        <v>1.014</v>
      </c>
      <c r="C669" s="2">
        <v>2000230928</v>
      </c>
      <c r="D669" s="2">
        <v>66.3</v>
      </c>
      <c r="E669" s="2"/>
      <c r="F669" s="2">
        <v>375</v>
      </c>
      <c r="G669" s="2">
        <v>675</v>
      </c>
      <c r="H669" s="2"/>
      <c r="I669" s="2"/>
      <c r="J669" s="3">
        <f>IF(A669="Upgrade",IF(OR(H669=4,H669=5),VLOOKUP(I669,'Renewal Rates'!$A$22:$B$27,2,FALSE),2.7%),IF(A669="Renewal",100%,0%))</f>
        <v>2.7000000000000003E-2</v>
      </c>
      <c r="K669" s="2" t="s">
        <v>35</v>
      </c>
      <c r="L669" s="2">
        <v>385</v>
      </c>
      <c r="M669" s="2" t="s">
        <v>23</v>
      </c>
      <c r="N669" s="2" t="s">
        <v>24</v>
      </c>
      <c r="O669" s="4">
        <v>270911</v>
      </c>
      <c r="P669" s="4">
        <v>4087</v>
      </c>
      <c r="Q669" s="4">
        <v>92110</v>
      </c>
      <c r="R669" s="4">
        <v>363021</v>
      </c>
      <c r="S669" s="5">
        <v>0.4</v>
      </c>
      <c r="T669" s="4">
        <v>145208</v>
      </c>
      <c r="U669" s="4">
        <v>508229</v>
      </c>
      <c r="V669" s="6">
        <f t="shared" si="20"/>
        <v>13722.183000000001</v>
      </c>
      <c r="W669" s="6">
        <f t="shared" si="21"/>
        <v>494506.81699999998</v>
      </c>
    </row>
    <row r="670" spans="1:23" x14ac:dyDescent="0.3">
      <c r="A670" s="2" t="s">
        <v>21</v>
      </c>
      <c r="B670" s="2">
        <v>1.018</v>
      </c>
      <c r="C670" s="2">
        <v>2000362737</v>
      </c>
      <c r="D670" s="2">
        <v>17.399999999999999</v>
      </c>
      <c r="E670" s="2"/>
      <c r="F670" s="2">
        <v>300</v>
      </c>
      <c r="G670" s="2">
        <v>600</v>
      </c>
      <c r="H670" s="2"/>
      <c r="I670" s="2"/>
      <c r="J670" s="3">
        <f>IF(A670="Upgrade",IF(OR(H670=4,H670=5),VLOOKUP(I670,'Renewal Rates'!$A$22:$B$27,2,FALSE),2.7%),IF(A670="Renewal",100%,0%))</f>
        <v>2.7000000000000003E-2</v>
      </c>
      <c r="K670" s="2" t="s">
        <v>35</v>
      </c>
      <c r="L670" s="2">
        <v>385</v>
      </c>
      <c r="M670" s="2" t="s">
        <v>23</v>
      </c>
      <c r="N670" s="2" t="s">
        <v>24</v>
      </c>
      <c r="O670" s="4">
        <v>80941</v>
      </c>
      <c r="P670" s="4">
        <v>4639</v>
      </c>
      <c r="Q670" s="4">
        <v>27520</v>
      </c>
      <c r="R670" s="4">
        <v>108460</v>
      </c>
      <c r="S670" s="5">
        <v>0.4</v>
      </c>
      <c r="T670" s="4">
        <v>43384</v>
      </c>
      <c r="U670" s="4">
        <v>151844</v>
      </c>
      <c r="V670" s="6">
        <f t="shared" si="20"/>
        <v>4099.7880000000005</v>
      </c>
      <c r="W670" s="6">
        <f t="shared" si="21"/>
        <v>147744.212</v>
      </c>
    </row>
    <row r="671" spans="1:23" x14ac:dyDescent="0.3">
      <c r="A671" s="2" t="s">
        <v>21</v>
      </c>
      <c r="B671" s="2">
        <v>1.018</v>
      </c>
      <c r="C671" s="2">
        <v>3000056030</v>
      </c>
      <c r="D671" s="2">
        <v>18.8</v>
      </c>
      <c r="E671" s="2"/>
      <c r="F671" s="2">
        <v>300</v>
      </c>
      <c r="G671" s="2">
        <v>600</v>
      </c>
      <c r="H671" s="2"/>
      <c r="I671" s="2"/>
      <c r="J671" s="3">
        <f>IF(A671="Upgrade",IF(OR(H671=4,H671=5),VLOOKUP(I671,'Renewal Rates'!$A$22:$B$27,2,FALSE),2.7%),IF(A671="Renewal",100%,0%))</f>
        <v>2.7000000000000003E-2</v>
      </c>
      <c r="K671" s="2" t="s">
        <v>35</v>
      </c>
      <c r="L671" s="2">
        <v>385</v>
      </c>
      <c r="M671" s="2" t="s">
        <v>23</v>
      </c>
      <c r="N671" s="2" t="s">
        <v>24</v>
      </c>
      <c r="O671" s="4">
        <v>82312</v>
      </c>
      <c r="P671" s="4">
        <v>4385</v>
      </c>
      <c r="Q671" s="4">
        <v>27986</v>
      </c>
      <c r="R671" s="4">
        <v>110298</v>
      </c>
      <c r="S671" s="5">
        <v>0.4</v>
      </c>
      <c r="T671" s="4">
        <v>44119</v>
      </c>
      <c r="U671" s="4">
        <v>154417</v>
      </c>
      <c r="V671" s="6">
        <f t="shared" si="20"/>
        <v>4169.2590000000009</v>
      </c>
      <c r="W671" s="6">
        <f t="shared" si="21"/>
        <v>150247.74100000001</v>
      </c>
    </row>
    <row r="672" spans="1:23" x14ac:dyDescent="0.3">
      <c r="A672" s="2" t="s">
        <v>21</v>
      </c>
      <c r="B672" s="2">
        <v>1.018</v>
      </c>
      <c r="C672" s="2">
        <v>3000056031</v>
      </c>
      <c r="D672" s="2">
        <v>28.4</v>
      </c>
      <c r="E672" s="2"/>
      <c r="F672" s="2">
        <v>300</v>
      </c>
      <c r="G672" s="2">
        <v>600</v>
      </c>
      <c r="H672" s="2"/>
      <c r="I672" s="2"/>
      <c r="J672" s="3">
        <f>IF(A672="Upgrade",IF(OR(H672=4,H672=5),VLOOKUP(I672,'Renewal Rates'!$A$22:$B$27,2,FALSE),2.7%),IF(A672="Renewal",100%,0%))</f>
        <v>2.7000000000000003E-2</v>
      </c>
      <c r="K672" s="2" t="s">
        <v>35</v>
      </c>
      <c r="L672" s="2">
        <v>385</v>
      </c>
      <c r="M672" s="2" t="s">
        <v>23</v>
      </c>
      <c r="N672" s="2" t="s">
        <v>24</v>
      </c>
      <c r="O672" s="4">
        <v>111724</v>
      </c>
      <c r="P672" s="4">
        <v>3932</v>
      </c>
      <c r="Q672" s="4">
        <v>37986</v>
      </c>
      <c r="R672" s="4">
        <v>149710</v>
      </c>
      <c r="S672" s="5">
        <v>0.4</v>
      </c>
      <c r="T672" s="4">
        <v>59884</v>
      </c>
      <c r="U672" s="4">
        <v>209594</v>
      </c>
      <c r="V672" s="6">
        <f t="shared" si="20"/>
        <v>5659.0380000000005</v>
      </c>
      <c r="W672" s="6">
        <f t="shared" si="21"/>
        <v>203934.962</v>
      </c>
    </row>
    <row r="673" spans="1:23" x14ac:dyDescent="0.3">
      <c r="A673" s="2" t="s">
        <v>25</v>
      </c>
      <c r="B673" s="2">
        <v>1.0009999999999999</v>
      </c>
      <c r="C673" s="2"/>
      <c r="D673" s="2"/>
      <c r="E673" s="2">
        <v>78.099999999999994</v>
      </c>
      <c r="F673" s="2"/>
      <c r="G673" s="2">
        <v>600</v>
      </c>
      <c r="H673" s="2"/>
      <c r="I673" s="2"/>
      <c r="J673" s="3">
        <f>IF(A673="Upgrade",IF(OR(H673=4,H673=5),VLOOKUP(I673,'Renewal Rates'!$A$22:$B$27,2,FALSE),2.7%),IF(A673="Renewal",100%,0%))</f>
        <v>0</v>
      </c>
      <c r="K673" s="2" t="s">
        <v>49</v>
      </c>
      <c r="L673" s="2">
        <v>385</v>
      </c>
      <c r="M673" s="2" t="s">
        <v>23</v>
      </c>
      <c r="N673" s="2" t="s">
        <v>24</v>
      </c>
      <c r="O673" s="4">
        <v>259265</v>
      </c>
      <c r="P673" s="4">
        <v>3320</v>
      </c>
      <c r="Q673" s="4">
        <v>88150</v>
      </c>
      <c r="R673" s="4">
        <v>347415</v>
      </c>
      <c r="S673" s="5">
        <v>0.4</v>
      </c>
      <c r="T673" s="4">
        <v>138966</v>
      </c>
      <c r="U673" s="4">
        <v>486381</v>
      </c>
      <c r="V673" s="6">
        <f t="shared" si="20"/>
        <v>0</v>
      </c>
      <c r="W673" s="6">
        <f t="shared" si="21"/>
        <v>486381</v>
      </c>
    </row>
    <row r="674" spans="1:23" x14ac:dyDescent="0.3">
      <c r="A674" s="2" t="s">
        <v>25</v>
      </c>
      <c r="B674" s="2">
        <v>1.0029999999999999</v>
      </c>
      <c r="C674" s="2"/>
      <c r="D674" s="2"/>
      <c r="E674" s="2">
        <v>90.8</v>
      </c>
      <c r="F674" s="2"/>
      <c r="G674" s="2">
        <v>525</v>
      </c>
      <c r="H674" s="2"/>
      <c r="I674" s="2"/>
      <c r="J674" s="3">
        <f>IF(A674="Upgrade",IF(OR(H674=4,H674=5),VLOOKUP(I674,'Renewal Rates'!$A$22:$B$27,2,FALSE),2.7%),IF(A674="Renewal",100%,0%))</f>
        <v>0</v>
      </c>
      <c r="K674" s="2" t="s">
        <v>35</v>
      </c>
      <c r="L674" s="2">
        <v>385</v>
      </c>
      <c r="M674" s="2" t="s">
        <v>23</v>
      </c>
      <c r="N674" s="2" t="s">
        <v>24</v>
      </c>
      <c r="O674" s="4">
        <v>278158</v>
      </c>
      <c r="P674" s="4">
        <v>3062</v>
      </c>
      <c r="Q674" s="4">
        <v>94574</v>
      </c>
      <c r="R674" s="4">
        <v>372732</v>
      </c>
      <c r="S674" s="5">
        <v>0.4</v>
      </c>
      <c r="T674" s="4">
        <v>149093</v>
      </c>
      <c r="U674" s="4">
        <v>521824</v>
      </c>
      <c r="V674" s="6">
        <f t="shared" si="20"/>
        <v>0</v>
      </c>
      <c r="W674" s="6">
        <f t="shared" si="21"/>
        <v>521824</v>
      </c>
    </row>
    <row r="675" spans="1:23" x14ac:dyDescent="0.3">
      <c r="A675" s="2" t="s">
        <v>25</v>
      </c>
      <c r="B675" s="2">
        <v>1.002</v>
      </c>
      <c r="C675" s="2"/>
      <c r="D675" s="2"/>
      <c r="E675" s="2">
        <v>65.2</v>
      </c>
      <c r="F675" s="2"/>
      <c r="G675" s="2">
        <v>375</v>
      </c>
      <c r="H675" s="2"/>
      <c r="I675" s="2"/>
      <c r="J675" s="3">
        <f>IF(A675="Upgrade",IF(OR(H675=4,H675=5),VLOOKUP(I675,'Renewal Rates'!$A$22:$B$27,2,FALSE),2.7%),IF(A675="Renewal",100%,0%))</f>
        <v>0</v>
      </c>
      <c r="K675" s="2" t="s">
        <v>22</v>
      </c>
      <c r="L675" s="2">
        <v>385</v>
      </c>
      <c r="M675" s="2" t="s">
        <v>23</v>
      </c>
      <c r="N675" s="2" t="s">
        <v>24</v>
      </c>
      <c r="O675" s="4">
        <v>155990</v>
      </c>
      <c r="P675" s="4">
        <v>2394</v>
      </c>
      <c r="Q675" s="4">
        <v>53037</v>
      </c>
      <c r="R675" s="4">
        <v>209026</v>
      </c>
      <c r="S675" s="5">
        <v>0.4</v>
      </c>
      <c r="T675" s="4">
        <v>83611</v>
      </c>
      <c r="U675" s="4">
        <v>292637</v>
      </c>
      <c r="V675" s="6">
        <f t="shared" si="20"/>
        <v>0</v>
      </c>
      <c r="W675" s="6">
        <f t="shared" si="21"/>
        <v>292637</v>
      </c>
    </row>
    <row r="676" spans="1:23" x14ac:dyDescent="0.3">
      <c r="A676" s="2" t="s">
        <v>25</v>
      </c>
      <c r="B676" s="2">
        <v>1.0089999999999999</v>
      </c>
      <c r="C676" s="2"/>
      <c r="D676" s="2"/>
      <c r="E676" s="2">
        <v>59.1</v>
      </c>
      <c r="F676" s="2"/>
      <c r="G676" s="2">
        <v>375</v>
      </c>
      <c r="H676" s="2"/>
      <c r="I676" s="2"/>
      <c r="J676" s="3">
        <f>IF(A676="Upgrade",IF(OR(H676=4,H676=5),VLOOKUP(I676,'Renewal Rates'!$A$22:$B$27,2,FALSE),2.7%),IF(A676="Renewal",100%,0%))</f>
        <v>0</v>
      </c>
      <c r="K676" s="2" t="s">
        <v>22</v>
      </c>
      <c r="L676" s="2">
        <v>385</v>
      </c>
      <c r="M676" s="2" t="s">
        <v>23</v>
      </c>
      <c r="N676" s="2" t="s">
        <v>24</v>
      </c>
      <c r="O676" s="4">
        <v>149717</v>
      </c>
      <c r="P676" s="4">
        <v>2533</v>
      </c>
      <c r="Q676" s="4">
        <v>50904</v>
      </c>
      <c r="R676" s="4">
        <v>200620</v>
      </c>
      <c r="S676" s="5">
        <v>0.4</v>
      </c>
      <c r="T676" s="4">
        <v>80248</v>
      </c>
      <c r="U676" s="4">
        <v>280868</v>
      </c>
      <c r="V676" s="6">
        <f t="shared" si="20"/>
        <v>0</v>
      </c>
      <c r="W676" s="6">
        <f t="shared" si="21"/>
        <v>280868</v>
      </c>
    </row>
    <row r="677" spans="1:23" x14ac:dyDescent="0.3">
      <c r="A677" s="2" t="s">
        <v>25</v>
      </c>
      <c r="B677" s="2">
        <v>1.008</v>
      </c>
      <c r="C677" s="2"/>
      <c r="D677" s="2"/>
      <c r="E677" s="2">
        <v>94.7</v>
      </c>
      <c r="F677" s="2"/>
      <c r="G677" s="2">
        <v>450</v>
      </c>
      <c r="H677" s="2"/>
      <c r="I677" s="2"/>
      <c r="J677" s="3">
        <f>IF(A677="Upgrade",IF(OR(H677=4,H677=5),VLOOKUP(I677,'Renewal Rates'!$A$22:$B$27,2,FALSE),2.7%),IF(A677="Renewal",100%,0%))</f>
        <v>0</v>
      </c>
      <c r="K677" s="2" t="s">
        <v>49</v>
      </c>
      <c r="L677" s="2">
        <v>385</v>
      </c>
      <c r="M677" s="2" t="s">
        <v>23</v>
      </c>
      <c r="N677" s="2" t="s">
        <v>24</v>
      </c>
      <c r="O677" s="4">
        <v>264243</v>
      </c>
      <c r="P677" s="4">
        <v>2790</v>
      </c>
      <c r="Q677" s="4">
        <v>89843</v>
      </c>
      <c r="R677" s="4">
        <v>354086</v>
      </c>
      <c r="S677" s="5">
        <v>0.4</v>
      </c>
      <c r="T677" s="4">
        <v>141634</v>
      </c>
      <c r="U677" s="4">
        <v>495720</v>
      </c>
      <c r="V677" s="6">
        <f t="shared" si="20"/>
        <v>0</v>
      </c>
      <c r="W677" s="6">
        <f t="shared" si="21"/>
        <v>495720</v>
      </c>
    </row>
    <row r="678" spans="1:23" x14ac:dyDescent="0.3">
      <c r="A678" s="2" t="s">
        <v>21</v>
      </c>
      <c r="B678" s="2">
        <v>1.02</v>
      </c>
      <c r="C678" s="2">
        <v>2000680737</v>
      </c>
      <c r="D678" s="2">
        <v>7.4</v>
      </c>
      <c r="E678" s="2"/>
      <c r="F678" s="2">
        <v>750</v>
      </c>
      <c r="G678" s="2">
        <v>1125</v>
      </c>
      <c r="H678" s="2"/>
      <c r="I678" s="2"/>
      <c r="J678" s="3">
        <f>IF(A678="Upgrade",IF(OR(H678=4,H678=5),VLOOKUP(I678,'Renewal Rates'!$A$22:$B$27,2,FALSE),2.7%),IF(A678="Renewal",100%,0%))</f>
        <v>2.7000000000000003E-2</v>
      </c>
      <c r="K678" s="2" t="s">
        <v>35</v>
      </c>
      <c r="L678" s="2">
        <v>385</v>
      </c>
      <c r="M678" s="2" t="s">
        <v>23</v>
      </c>
      <c r="N678" s="2" t="s">
        <v>24</v>
      </c>
      <c r="O678" s="4">
        <v>143959</v>
      </c>
      <c r="P678" s="4">
        <v>19459</v>
      </c>
      <c r="Q678" s="4">
        <v>48946</v>
      </c>
      <c r="R678" s="4">
        <v>192906</v>
      </c>
      <c r="S678" s="5">
        <v>0.4</v>
      </c>
      <c r="T678" s="4">
        <v>77162</v>
      </c>
      <c r="U678" s="4">
        <v>270068</v>
      </c>
      <c r="V678" s="6">
        <f t="shared" si="20"/>
        <v>7291.8360000000011</v>
      </c>
      <c r="W678" s="6">
        <f t="shared" si="21"/>
        <v>262776.16399999999</v>
      </c>
    </row>
    <row r="679" spans="1:23" x14ac:dyDescent="0.3">
      <c r="A679" s="2" t="s">
        <v>21</v>
      </c>
      <c r="B679" s="2">
        <v>1.02</v>
      </c>
      <c r="C679" s="2">
        <v>2000885978</v>
      </c>
      <c r="D679" s="2">
        <v>60.5</v>
      </c>
      <c r="E679" s="2"/>
      <c r="F679" s="2">
        <v>525</v>
      </c>
      <c r="G679" s="2">
        <v>1125</v>
      </c>
      <c r="H679" s="2"/>
      <c r="I679" s="2"/>
      <c r="J679" s="3">
        <f>IF(A679="Upgrade",IF(OR(H679=4,H679=5),VLOOKUP(I679,'Renewal Rates'!$A$22:$B$27,2,FALSE),2.7%),IF(A679="Renewal",100%,0%))</f>
        <v>2.7000000000000003E-2</v>
      </c>
      <c r="K679" s="2" t="s">
        <v>35</v>
      </c>
      <c r="L679" s="2">
        <v>385</v>
      </c>
      <c r="M679" s="2" t="s">
        <v>23</v>
      </c>
      <c r="N679" s="2" t="s">
        <v>24</v>
      </c>
      <c r="O679" s="4">
        <v>440660</v>
      </c>
      <c r="P679" s="4">
        <v>7278</v>
      </c>
      <c r="Q679" s="4">
        <v>149824</v>
      </c>
      <c r="R679" s="4">
        <v>590485</v>
      </c>
      <c r="S679" s="5">
        <v>0.4</v>
      </c>
      <c r="T679" s="4">
        <v>236194</v>
      </c>
      <c r="U679" s="4">
        <v>826679</v>
      </c>
      <c r="V679" s="6">
        <f t="shared" si="20"/>
        <v>22320.333000000002</v>
      </c>
      <c r="W679" s="6">
        <f t="shared" si="21"/>
        <v>804358.66700000002</v>
      </c>
    </row>
    <row r="680" spans="1:23" x14ac:dyDescent="0.3">
      <c r="A680" s="2" t="s">
        <v>21</v>
      </c>
      <c r="B680" s="2">
        <v>1.016</v>
      </c>
      <c r="C680" s="2">
        <v>2000932863</v>
      </c>
      <c r="D680" s="2">
        <v>75.900000000000006</v>
      </c>
      <c r="E680" s="2"/>
      <c r="F680" s="2">
        <v>300</v>
      </c>
      <c r="G680" s="2">
        <v>525</v>
      </c>
      <c r="H680" s="2"/>
      <c r="I680" s="2"/>
      <c r="J680" s="3">
        <f>IF(A680="Upgrade",IF(OR(H680=4,H680=5),VLOOKUP(I680,'Renewal Rates'!$A$22:$B$27,2,FALSE),2.7%),IF(A680="Renewal",100%,0%))</f>
        <v>2.7000000000000003E-2</v>
      </c>
      <c r="K680" s="2" t="s">
        <v>49</v>
      </c>
      <c r="L680" s="2">
        <v>385</v>
      </c>
      <c r="M680" s="2" t="s">
        <v>23</v>
      </c>
      <c r="N680" s="2" t="s">
        <v>24</v>
      </c>
      <c r="O680" s="4">
        <v>226213</v>
      </c>
      <c r="P680" s="4">
        <v>2982</v>
      </c>
      <c r="Q680" s="4">
        <v>76912</v>
      </c>
      <c r="R680" s="4">
        <v>303125</v>
      </c>
      <c r="S680" s="5">
        <v>0.4</v>
      </c>
      <c r="T680" s="4">
        <v>121250</v>
      </c>
      <c r="U680" s="4">
        <v>424375</v>
      </c>
      <c r="V680" s="6">
        <f t="shared" si="20"/>
        <v>11458.125000000002</v>
      </c>
      <c r="W680" s="6">
        <f t="shared" si="21"/>
        <v>412916.875</v>
      </c>
    </row>
    <row r="681" spans="1:23" x14ac:dyDescent="0.3">
      <c r="A681" s="2" t="s">
        <v>21</v>
      </c>
      <c r="B681" s="2">
        <v>1.0209999999999999</v>
      </c>
      <c r="C681" s="2">
        <v>2000366392</v>
      </c>
      <c r="D681" s="2">
        <v>4.0999999999999996</v>
      </c>
      <c r="E681" s="2"/>
      <c r="F681" s="2">
        <v>525</v>
      </c>
      <c r="G681" s="2">
        <v>1050</v>
      </c>
      <c r="H681" s="2"/>
      <c r="I681" s="2"/>
      <c r="J681" s="3">
        <f>IF(A681="Upgrade",IF(OR(H681=4,H681=5),VLOOKUP(I681,'Renewal Rates'!$A$22:$B$27,2,FALSE),2.7%),IF(A681="Renewal",100%,0%))</f>
        <v>2.7000000000000003E-2</v>
      </c>
      <c r="K681" s="2" t="s">
        <v>35</v>
      </c>
      <c r="L681" s="2">
        <v>385</v>
      </c>
      <c r="M681" s="2" t="s">
        <v>23</v>
      </c>
      <c r="N681" s="2" t="s">
        <v>24</v>
      </c>
      <c r="O681" s="4">
        <v>74836</v>
      </c>
      <c r="P681" s="4">
        <v>18226</v>
      </c>
      <c r="Q681" s="4">
        <v>25444</v>
      </c>
      <c r="R681" s="4">
        <v>100280</v>
      </c>
      <c r="S681" s="5">
        <v>0.4</v>
      </c>
      <c r="T681" s="4">
        <v>40112</v>
      </c>
      <c r="U681" s="4">
        <v>140391</v>
      </c>
      <c r="V681" s="6">
        <f t="shared" si="20"/>
        <v>3790.5570000000002</v>
      </c>
      <c r="W681" s="6">
        <f t="shared" si="21"/>
        <v>136600.443</v>
      </c>
    </row>
    <row r="682" spans="1:23" x14ac:dyDescent="0.3">
      <c r="A682" s="2" t="s">
        <v>21</v>
      </c>
      <c r="B682" s="2">
        <v>1.0209999999999999</v>
      </c>
      <c r="C682" s="2">
        <v>2000041168</v>
      </c>
      <c r="D682" s="2">
        <v>15.6</v>
      </c>
      <c r="E682" s="2"/>
      <c r="F682" s="2">
        <v>450</v>
      </c>
      <c r="G682" s="2">
        <v>1050</v>
      </c>
      <c r="H682" s="2"/>
      <c r="I682" s="2"/>
      <c r="J682" s="3">
        <f>IF(A682="Upgrade",IF(OR(H682=4,H682=5),VLOOKUP(I682,'Renewal Rates'!$A$22:$B$27,2,FALSE),2.7%),IF(A682="Renewal",100%,0%))</f>
        <v>2.7000000000000003E-2</v>
      </c>
      <c r="K682" s="2" t="s">
        <v>35</v>
      </c>
      <c r="L682" s="2">
        <v>385</v>
      </c>
      <c r="M682" s="2" t="s">
        <v>23</v>
      </c>
      <c r="N682" s="2" t="s">
        <v>24</v>
      </c>
      <c r="O682" s="4">
        <v>143386</v>
      </c>
      <c r="P682" s="4">
        <v>9212</v>
      </c>
      <c r="Q682" s="4">
        <v>48751</v>
      </c>
      <c r="R682" s="4">
        <v>192138</v>
      </c>
      <c r="S682" s="5">
        <v>0.4</v>
      </c>
      <c r="T682" s="4">
        <v>76855</v>
      </c>
      <c r="U682" s="4">
        <v>268993</v>
      </c>
      <c r="V682" s="6">
        <f t="shared" si="20"/>
        <v>7262.8110000000006</v>
      </c>
      <c r="W682" s="6">
        <f t="shared" si="21"/>
        <v>261730.18900000001</v>
      </c>
    </row>
    <row r="683" spans="1:23" x14ac:dyDescent="0.3">
      <c r="A683" s="2" t="s">
        <v>21</v>
      </c>
      <c r="B683" s="2">
        <v>1.0209999999999999</v>
      </c>
      <c r="C683" s="2">
        <v>2000242054</v>
      </c>
      <c r="D683" s="2">
        <v>57.7</v>
      </c>
      <c r="E683" s="2"/>
      <c r="F683" s="2">
        <v>450</v>
      </c>
      <c r="G683" s="2">
        <v>1050</v>
      </c>
      <c r="H683" s="2"/>
      <c r="I683" s="2"/>
      <c r="J683" s="3">
        <f>IF(A683="Upgrade",IF(OR(H683=4,H683=5),VLOOKUP(I683,'Renewal Rates'!$A$22:$B$27,2,FALSE),2.7%),IF(A683="Renewal",100%,0%))</f>
        <v>2.7000000000000003E-2</v>
      </c>
      <c r="K683" s="2" t="s">
        <v>35</v>
      </c>
      <c r="L683" s="2">
        <v>385</v>
      </c>
      <c r="M683" s="2" t="s">
        <v>23</v>
      </c>
      <c r="N683" s="2" t="s">
        <v>24</v>
      </c>
      <c r="O683" s="4">
        <v>402929</v>
      </c>
      <c r="P683" s="4">
        <v>6985</v>
      </c>
      <c r="Q683" s="4">
        <v>136996</v>
      </c>
      <c r="R683" s="4">
        <v>539925</v>
      </c>
      <c r="S683" s="5">
        <v>0.4</v>
      </c>
      <c r="T683" s="4">
        <v>215970</v>
      </c>
      <c r="U683" s="4">
        <v>755894</v>
      </c>
      <c r="V683" s="6">
        <f t="shared" si="20"/>
        <v>20409.138000000003</v>
      </c>
      <c r="W683" s="6">
        <f t="shared" si="21"/>
        <v>735484.86199999996</v>
      </c>
    </row>
    <row r="684" spans="1:23" x14ac:dyDescent="0.3">
      <c r="A684" s="2" t="s">
        <v>21</v>
      </c>
      <c r="B684" s="2">
        <v>1.0209999999999999</v>
      </c>
      <c r="C684" s="2">
        <v>3000044890</v>
      </c>
      <c r="D684" s="2">
        <v>20.6</v>
      </c>
      <c r="E684" s="2">
        <v>0</v>
      </c>
      <c r="F684" s="2">
        <v>450</v>
      </c>
      <c r="G684" s="2">
        <v>1050</v>
      </c>
      <c r="H684" s="2"/>
      <c r="I684" s="2"/>
      <c r="J684" s="3">
        <f>IF(A684="Upgrade",IF(OR(H684=4,H684=5),VLOOKUP(I684,'Renewal Rates'!$A$22:$B$27,2,FALSE),2.7%),IF(A684="Renewal",100%,0%))</f>
        <v>2.7000000000000003E-2</v>
      </c>
      <c r="K684" s="2" t="s">
        <v>35</v>
      </c>
      <c r="L684" s="2">
        <v>385</v>
      </c>
      <c r="M684" s="2" t="s">
        <v>23</v>
      </c>
      <c r="N684" s="2" t="s">
        <v>24</v>
      </c>
      <c r="O684" s="4">
        <v>176317</v>
      </c>
      <c r="P684" s="4">
        <v>8547</v>
      </c>
      <c r="Q684" s="4">
        <v>59948</v>
      </c>
      <c r="R684" s="4">
        <v>236265</v>
      </c>
      <c r="S684" s="5">
        <v>0.4</v>
      </c>
      <c r="T684" s="4">
        <v>94506</v>
      </c>
      <c r="U684" s="4">
        <v>330770</v>
      </c>
      <c r="V684" s="6">
        <f t="shared" si="20"/>
        <v>8930.7900000000009</v>
      </c>
      <c r="W684" s="6">
        <f t="shared" si="21"/>
        <v>321839.21000000002</v>
      </c>
    </row>
    <row r="685" spans="1:23" x14ac:dyDescent="0.3">
      <c r="A685" s="2" t="s">
        <v>21</v>
      </c>
      <c r="B685" s="2">
        <v>1.0209999999999999</v>
      </c>
      <c r="C685" s="2">
        <v>2000601169</v>
      </c>
      <c r="D685" s="2">
        <v>31.9</v>
      </c>
      <c r="E685" s="2"/>
      <c r="F685" s="2">
        <v>450</v>
      </c>
      <c r="G685" s="2">
        <v>1050</v>
      </c>
      <c r="H685" s="2"/>
      <c r="I685" s="2"/>
      <c r="J685" s="3">
        <f>IF(A685="Upgrade",IF(OR(H685=4,H685=5),VLOOKUP(I685,'Renewal Rates'!$A$22:$B$27,2,FALSE),2.7%),IF(A685="Renewal",100%,0%))</f>
        <v>2.7000000000000003E-2</v>
      </c>
      <c r="K685" s="2" t="s">
        <v>35</v>
      </c>
      <c r="L685" s="2">
        <v>385</v>
      </c>
      <c r="M685" s="2" t="s">
        <v>23</v>
      </c>
      <c r="N685" s="2" t="s">
        <v>24</v>
      </c>
      <c r="O685" s="4">
        <v>221839</v>
      </c>
      <c r="P685" s="4">
        <v>6950</v>
      </c>
      <c r="Q685" s="4">
        <v>75425</v>
      </c>
      <c r="R685" s="4">
        <v>297264</v>
      </c>
      <c r="S685" s="5">
        <v>0.4</v>
      </c>
      <c r="T685" s="4">
        <v>118906</v>
      </c>
      <c r="U685" s="4">
        <v>416169</v>
      </c>
      <c r="V685" s="6">
        <f t="shared" si="20"/>
        <v>11236.563000000002</v>
      </c>
      <c r="W685" s="6">
        <f t="shared" si="21"/>
        <v>404932.43699999998</v>
      </c>
    </row>
    <row r="686" spans="1:23" x14ac:dyDescent="0.3">
      <c r="A686" s="2" t="s">
        <v>21</v>
      </c>
      <c r="B686" s="2">
        <v>1.0109999999999999</v>
      </c>
      <c r="C686" s="2">
        <v>3000044891</v>
      </c>
      <c r="D686" s="2">
        <v>28</v>
      </c>
      <c r="E686" s="2"/>
      <c r="F686" s="2">
        <v>450</v>
      </c>
      <c r="G686" s="2">
        <v>825</v>
      </c>
      <c r="H686" s="2"/>
      <c r="I686" s="2"/>
      <c r="J686" s="3">
        <f>IF(A686="Upgrade",IF(OR(H686=4,H686=5),VLOOKUP(I686,'Renewal Rates'!$A$22:$B$27,2,FALSE),2.7%),IF(A686="Renewal",100%,0%))</f>
        <v>2.7000000000000003E-2</v>
      </c>
      <c r="K686" s="2" t="s">
        <v>35</v>
      </c>
      <c r="L686" s="2">
        <v>385</v>
      </c>
      <c r="M686" s="2" t="s">
        <v>23</v>
      </c>
      <c r="N686" s="2" t="s">
        <v>24</v>
      </c>
      <c r="O686" s="4">
        <v>149998</v>
      </c>
      <c r="P686" s="4">
        <v>5365</v>
      </c>
      <c r="Q686" s="4">
        <v>50999</v>
      </c>
      <c r="R686" s="4">
        <v>200997</v>
      </c>
      <c r="S686" s="5">
        <v>0.4</v>
      </c>
      <c r="T686" s="4">
        <v>80399</v>
      </c>
      <c r="U686" s="4">
        <v>281396</v>
      </c>
      <c r="V686" s="6">
        <f t="shared" si="20"/>
        <v>7597.6920000000009</v>
      </c>
      <c r="W686" s="6">
        <f t="shared" si="21"/>
        <v>273798.30800000002</v>
      </c>
    </row>
    <row r="687" spans="1:23" x14ac:dyDescent="0.3">
      <c r="A687" s="2" t="s">
        <v>21</v>
      </c>
      <c r="B687" s="2">
        <v>1.0109999999999999</v>
      </c>
      <c r="C687" s="2">
        <v>2000884052</v>
      </c>
      <c r="D687" s="2">
        <v>31.6</v>
      </c>
      <c r="E687" s="2"/>
      <c r="F687" s="2">
        <v>450</v>
      </c>
      <c r="G687" s="2">
        <v>825</v>
      </c>
      <c r="H687" s="2"/>
      <c r="I687" s="2"/>
      <c r="J687" s="3">
        <f>IF(A687="Upgrade",IF(OR(H687=4,H687=5),VLOOKUP(I687,'Renewal Rates'!$A$22:$B$27,2,FALSE),2.7%),IF(A687="Renewal",100%,0%))</f>
        <v>2.7000000000000003E-2</v>
      </c>
      <c r="K687" s="2" t="s">
        <v>35</v>
      </c>
      <c r="L687" s="2">
        <v>385</v>
      </c>
      <c r="M687" s="2" t="s">
        <v>23</v>
      </c>
      <c r="N687" s="2" t="s">
        <v>24</v>
      </c>
      <c r="O687" s="4">
        <v>155579</v>
      </c>
      <c r="P687" s="4">
        <v>4920</v>
      </c>
      <c r="Q687" s="4">
        <v>52897</v>
      </c>
      <c r="R687" s="4">
        <v>208476</v>
      </c>
      <c r="S687" s="5">
        <v>0.4</v>
      </c>
      <c r="T687" s="4">
        <v>83390</v>
      </c>
      <c r="U687" s="4">
        <v>291866</v>
      </c>
      <c r="V687" s="6">
        <f t="shared" si="20"/>
        <v>7880.3820000000005</v>
      </c>
      <c r="W687" s="6">
        <f t="shared" si="21"/>
        <v>283985.61800000002</v>
      </c>
    </row>
    <row r="688" spans="1:23" x14ac:dyDescent="0.3">
      <c r="A688" s="2" t="s">
        <v>21</v>
      </c>
      <c r="B688" s="2">
        <v>1.0109999999999999</v>
      </c>
      <c r="C688" s="2">
        <v>2000276111</v>
      </c>
      <c r="D688" s="2">
        <v>32.200000000000003</v>
      </c>
      <c r="E688" s="2"/>
      <c r="F688" s="2">
        <v>450</v>
      </c>
      <c r="G688" s="2">
        <v>825</v>
      </c>
      <c r="H688" s="2"/>
      <c r="I688" s="2"/>
      <c r="J688" s="3">
        <f>IF(A688="Upgrade",IF(OR(H688=4,H688=5),VLOOKUP(I688,'Renewal Rates'!$A$22:$B$27,2,FALSE),2.7%),IF(A688="Renewal",100%,0%))</f>
        <v>2.7000000000000003E-2</v>
      </c>
      <c r="K688" s="2" t="s">
        <v>35</v>
      </c>
      <c r="L688" s="2">
        <v>385</v>
      </c>
      <c r="M688" s="2" t="s">
        <v>23</v>
      </c>
      <c r="N688" s="2" t="s">
        <v>24</v>
      </c>
      <c r="O688" s="4">
        <v>156450</v>
      </c>
      <c r="P688" s="4">
        <v>4860</v>
      </c>
      <c r="Q688" s="4">
        <v>53193</v>
      </c>
      <c r="R688" s="4">
        <v>209642</v>
      </c>
      <c r="S688" s="5">
        <v>0.4</v>
      </c>
      <c r="T688" s="4">
        <v>83857</v>
      </c>
      <c r="U688" s="4">
        <v>293499</v>
      </c>
      <c r="V688" s="6">
        <f t="shared" si="20"/>
        <v>7924.4730000000009</v>
      </c>
      <c r="W688" s="6">
        <f t="shared" si="21"/>
        <v>285574.527</v>
      </c>
    </row>
    <row r="689" spans="1:23" x14ac:dyDescent="0.3">
      <c r="A689" s="2" t="s">
        <v>21</v>
      </c>
      <c r="B689" s="2">
        <v>1.0109999999999999</v>
      </c>
      <c r="C689" s="2">
        <v>2000467474</v>
      </c>
      <c r="D689" s="2">
        <v>142.6</v>
      </c>
      <c r="E689" s="2"/>
      <c r="F689" s="2">
        <v>375</v>
      </c>
      <c r="G689" s="2">
        <v>825</v>
      </c>
      <c r="H689" s="2"/>
      <c r="I689" s="2"/>
      <c r="J689" s="3">
        <f>IF(A689="Upgrade",IF(OR(H689=4,H689=5),VLOOKUP(I689,'Renewal Rates'!$A$22:$B$27,2,FALSE),2.7%),IF(A689="Renewal",100%,0%))</f>
        <v>2.7000000000000003E-2</v>
      </c>
      <c r="K689" s="2" t="s">
        <v>35</v>
      </c>
      <c r="L689" s="2">
        <v>385</v>
      </c>
      <c r="M689" s="2" t="s">
        <v>23</v>
      </c>
      <c r="N689" s="2" t="s">
        <v>24</v>
      </c>
      <c r="O689" s="4">
        <v>625405</v>
      </c>
      <c r="P689" s="4">
        <v>4387</v>
      </c>
      <c r="Q689" s="4">
        <v>212638</v>
      </c>
      <c r="R689" s="4">
        <v>838043</v>
      </c>
      <c r="S689" s="5">
        <v>0.4</v>
      </c>
      <c r="T689" s="4">
        <v>335217</v>
      </c>
      <c r="U689" s="4">
        <v>1173260</v>
      </c>
      <c r="V689" s="6">
        <f t="shared" si="20"/>
        <v>31678.020000000004</v>
      </c>
      <c r="W689" s="6">
        <f t="shared" si="21"/>
        <v>1141581.98</v>
      </c>
    </row>
    <row r="690" spans="1:23" x14ac:dyDescent="0.3">
      <c r="A690" s="2" t="s">
        <v>21</v>
      </c>
      <c r="B690" s="2">
        <v>1.0109999999999999</v>
      </c>
      <c r="C690" s="2">
        <v>2000779227</v>
      </c>
      <c r="D690" s="2">
        <v>11</v>
      </c>
      <c r="E690" s="2"/>
      <c r="F690" s="2">
        <v>375</v>
      </c>
      <c r="G690" s="2">
        <v>825</v>
      </c>
      <c r="H690" s="2"/>
      <c r="I690" s="2"/>
      <c r="J690" s="3">
        <f>IF(A690="Upgrade",IF(OR(H690=4,H690=5),VLOOKUP(I690,'Renewal Rates'!$A$22:$B$27,2,FALSE),2.7%),IF(A690="Renewal",100%,0%))</f>
        <v>2.7000000000000003E-2</v>
      </c>
      <c r="K690" s="2" t="s">
        <v>35</v>
      </c>
      <c r="L690" s="2">
        <v>385</v>
      </c>
      <c r="M690" s="2" t="s">
        <v>23</v>
      </c>
      <c r="N690" s="2" t="s">
        <v>24</v>
      </c>
      <c r="O690" s="4">
        <v>85215</v>
      </c>
      <c r="P690" s="4">
        <v>7778</v>
      </c>
      <c r="Q690" s="4">
        <v>28973</v>
      </c>
      <c r="R690" s="4">
        <v>114189</v>
      </c>
      <c r="S690" s="5">
        <v>0.4</v>
      </c>
      <c r="T690" s="4">
        <v>45675</v>
      </c>
      <c r="U690" s="4">
        <v>159864</v>
      </c>
      <c r="V690" s="6">
        <f t="shared" si="20"/>
        <v>4316.3280000000004</v>
      </c>
      <c r="W690" s="6">
        <f t="shared" si="21"/>
        <v>155547.67199999999</v>
      </c>
    </row>
    <row r="691" spans="1:23" x14ac:dyDescent="0.3">
      <c r="A691" s="2" t="s">
        <v>25</v>
      </c>
      <c r="B691" s="2">
        <v>1.012</v>
      </c>
      <c r="C691" s="2"/>
      <c r="D691" s="2"/>
      <c r="E691" s="2">
        <v>82.2</v>
      </c>
      <c r="F691" s="2"/>
      <c r="G691" s="2">
        <v>675</v>
      </c>
      <c r="H691" s="2"/>
      <c r="I691" s="2"/>
      <c r="J691" s="3">
        <f>IF(A691="Upgrade",IF(OR(H691=4,H691=5),VLOOKUP(I691,'Renewal Rates'!$A$22:$B$27,2,FALSE),2.7%),IF(A691="Renewal",100%,0%))</f>
        <v>0</v>
      </c>
      <c r="K691" s="2" t="s">
        <v>49</v>
      </c>
      <c r="L691" s="2">
        <v>385</v>
      </c>
      <c r="M691" s="2" t="s">
        <v>23</v>
      </c>
      <c r="N691" s="2" t="s">
        <v>24</v>
      </c>
      <c r="O691" s="4">
        <v>309410</v>
      </c>
      <c r="P691" s="4">
        <v>3763</v>
      </c>
      <c r="Q691" s="4">
        <v>105199</v>
      </c>
      <c r="R691" s="4">
        <v>414609</v>
      </c>
      <c r="S691" s="5">
        <v>0.4</v>
      </c>
      <c r="T691" s="4">
        <v>165844</v>
      </c>
      <c r="U691" s="4">
        <v>580453</v>
      </c>
      <c r="V691" s="6">
        <f t="shared" si="20"/>
        <v>0</v>
      </c>
      <c r="W691" s="6">
        <f t="shared" si="21"/>
        <v>580453</v>
      </c>
    </row>
    <row r="692" spans="1:23" x14ac:dyDescent="0.3">
      <c r="A692" s="2" t="s">
        <v>25</v>
      </c>
      <c r="B692" s="2">
        <v>1.006</v>
      </c>
      <c r="C692" s="2"/>
      <c r="D692" s="2"/>
      <c r="E692" s="2">
        <v>124.7</v>
      </c>
      <c r="F692" s="2"/>
      <c r="G692" s="2">
        <v>600</v>
      </c>
      <c r="H692" s="2"/>
      <c r="I692" s="2"/>
      <c r="J692" s="3">
        <f>IF(A692="Upgrade",IF(OR(H692=4,H692=5),VLOOKUP(I692,'Renewal Rates'!$A$22:$B$27,2,FALSE),2.7%),IF(A692="Renewal",100%,0%))</f>
        <v>0</v>
      </c>
      <c r="K692" s="2" t="s">
        <v>22</v>
      </c>
      <c r="L692" s="2">
        <v>385</v>
      </c>
      <c r="M692" s="2" t="s">
        <v>23</v>
      </c>
      <c r="N692" s="2" t="s">
        <v>24</v>
      </c>
      <c r="O692" s="4">
        <v>403600</v>
      </c>
      <c r="P692" s="4">
        <v>3237</v>
      </c>
      <c r="Q692" s="4">
        <v>137224</v>
      </c>
      <c r="R692" s="4">
        <v>540824</v>
      </c>
      <c r="S692" s="5">
        <v>0.4</v>
      </c>
      <c r="T692" s="4">
        <v>216329</v>
      </c>
      <c r="U692" s="4">
        <v>757153</v>
      </c>
      <c r="V692" s="6">
        <f t="shared" si="20"/>
        <v>0</v>
      </c>
      <c r="W692" s="6">
        <f t="shared" si="21"/>
        <v>757153</v>
      </c>
    </row>
    <row r="693" spans="1:23" x14ac:dyDescent="0.3">
      <c r="A693" s="2" t="s">
        <v>25</v>
      </c>
      <c r="B693" s="2">
        <v>1.004</v>
      </c>
      <c r="C693" s="2"/>
      <c r="D693" s="2"/>
      <c r="E693" s="2">
        <v>61.8</v>
      </c>
      <c r="F693" s="2"/>
      <c r="G693" s="2">
        <v>525</v>
      </c>
      <c r="H693" s="2"/>
      <c r="I693" s="2"/>
      <c r="J693" s="3">
        <f>IF(A693="Upgrade",IF(OR(H693=4,H693=5),VLOOKUP(I693,'Renewal Rates'!$A$22:$B$27,2,FALSE),2.7%),IF(A693="Renewal",100%,0%))</f>
        <v>0</v>
      </c>
      <c r="K693" s="2" t="s">
        <v>35</v>
      </c>
      <c r="L693" s="2">
        <v>385</v>
      </c>
      <c r="M693" s="2" t="s">
        <v>23</v>
      </c>
      <c r="N693" s="2" t="s">
        <v>24</v>
      </c>
      <c r="O693" s="4">
        <v>194532</v>
      </c>
      <c r="P693" s="4">
        <v>3146</v>
      </c>
      <c r="Q693" s="4">
        <v>66141</v>
      </c>
      <c r="R693" s="4">
        <v>260673</v>
      </c>
      <c r="S693" s="5">
        <v>0.4</v>
      </c>
      <c r="T693" s="4">
        <v>104269</v>
      </c>
      <c r="U693" s="4">
        <v>364942</v>
      </c>
      <c r="V693" s="6">
        <f t="shared" si="20"/>
        <v>0</v>
      </c>
      <c r="W693" s="6">
        <f t="shared" si="21"/>
        <v>364942</v>
      </c>
    </row>
    <row r="694" spans="1:23" x14ac:dyDescent="0.3">
      <c r="A694" s="2" t="s">
        <v>25</v>
      </c>
      <c r="B694" s="2">
        <v>1.0049999999999999</v>
      </c>
      <c r="C694" s="2"/>
      <c r="D694" s="2"/>
      <c r="E694" s="2">
        <v>152.6</v>
      </c>
      <c r="F694" s="2"/>
      <c r="G694" s="2">
        <v>675</v>
      </c>
      <c r="H694" s="2"/>
      <c r="I694" s="2"/>
      <c r="J694" s="3">
        <f>IF(A694="Upgrade",IF(OR(H694=4,H694=5),VLOOKUP(I694,'Renewal Rates'!$A$22:$B$27,2,FALSE),2.7%),IF(A694="Renewal",100%,0%))</f>
        <v>0</v>
      </c>
      <c r="K694" s="2" t="s">
        <v>49</v>
      </c>
      <c r="L694" s="2">
        <v>385</v>
      </c>
      <c r="M694" s="2" t="s">
        <v>23</v>
      </c>
      <c r="N694" s="2" t="s">
        <v>24</v>
      </c>
      <c r="O694" s="4">
        <v>579603</v>
      </c>
      <c r="P694" s="4">
        <v>3798</v>
      </c>
      <c r="Q694" s="4">
        <v>197065</v>
      </c>
      <c r="R694" s="4">
        <v>776668</v>
      </c>
      <c r="S694" s="5">
        <v>0.4</v>
      </c>
      <c r="T694" s="4">
        <v>310667</v>
      </c>
      <c r="U694" s="4">
        <v>1087336</v>
      </c>
      <c r="V694" s="6">
        <f t="shared" si="20"/>
        <v>0</v>
      </c>
      <c r="W694" s="6">
        <f t="shared" si="21"/>
        <v>1087336</v>
      </c>
    </row>
    <row r="695" spans="1:23" x14ac:dyDescent="0.3">
      <c r="A695" s="2" t="s">
        <v>21</v>
      </c>
      <c r="B695" s="2">
        <v>1.0169999999999999</v>
      </c>
      <c r="C695" s="2">
        <v>2000096338</v>
      </c>
      <c r="D695" s="2">
        <v>23.7</v>
      </c>
      <c r="E695" s="2"/>
      <c r="F695" s="2">
        <v>225</v>
      </c>
      <c r="G695" s="2">
        <v>750</v>
      </c>
      <c r="H695" s="2"/>
      <c r="I695" s="2"/>
      <c r="J695" s="3">
        <f>IF(A695="Upgrade",IF(OR(H695=4,H695=5),VLOOKUP(I695,'Renewal Rates'!$A$22:$B$27,2,FALSE),2.7%),IF(A695="Renewal",100%,0%))</f>
        <v>2.7000000000000003E-2</v>
      </c>
      <c r="K695" s="7" t="s">
        <v>50</v>
      </c>
      <c r="L695" s="2">
        <v>385</v>
      </c>
      <c r="M695" s="2" t="s">
        <v>23</v>
      </c>
      <c r="N695" s="2" t="s">
        <v>24</v>
      </c>
      <c r="O695" s="4">
        <v>123462</v>
      </c>
      <c r="P695" s="4">
        <v>5217</v>
      </c>
      <c r="Q695" s="4">
        <v>48960</v>
      </c>
      <c r="R695" s="4">
        <v>192960</v>
      </c>
      <c r="S695" s="5">
        <v>0.4</v>
      </c>
      <c r="T695" s="4">
        <v>77184</v>
      </c>
      <c r="U695" s="4">
        <v>270143</v>
      </c>
      <c r="V695" s="6">
        <f t="shared" si="20"/>
        <v>7293.8610000000008</v>
      </c>
      <c r="W695" s="6">
        <f t="shared" si="21"/>
        <v>262849.13900000002</v>
      </c>
    </row>
    <row r="696" spans="1:23" x14ac:dyDescent="0.3">
      <c r="A696" s="2" t="s">
        <v>21</v>
      </c>
      <c r="B696" s="2">
        <v>1.0169999999999999</v>
      </c>
      <c r="C696" s="2">
        <v>2000567122</v>
      </c>
      <c r="D696" s="2">
        <v>23.6</v>
      </c>
      <c r="E696" s="2"/>
      <c r="F696" s="2">
        <v>225</v>
      </c>
      <c r="G696" s="2">
        <v>750</v>
      </c>
      <c r="H696" s="2"/>
      <c r="I696" s="2"/>
      <c r="J696" s="3">
        <f>IF(A696="Upgrade",IF(OR(H696=4,H696=5),VLOOKUP(I696,'Renewal Rates'!$A$22:$B$27,2,FALSE),2.7%),IF(A696="Renewal",100%,0%))</f>
        <v>2.7000000000000003E-2</v>
      </c>
      <c r="K696" s="7" t="s">
        <v>50</v>
      </c>
      <c r="L696" s="2">
        <v>385</v>
      </c>
      <c r="M696" s="2" t="s">
        <v>23</v>
      </c>
      <c r="N696" s="2" t="s">
        <v>24</v>
      </c>
      <c r="O696" s="4">
        <v>107043</v>
      </c>
      <c r="P696" s="4">
        <v>4530</v>
      </c>
      <c r="Q696" s="4">
        <v>40987</v>
      </c>
      <c r="R696" s="4">
        <v>161537</v>
      </c>
      <c r="S696" s="5">
        <v>0.4</v>
      </c>
      <c r="T696" s="4">
        <v>64615</v>
      </c>
      <c r="U696" s="4">
        <v>226151</v>
      </c>
      <c r="V696" s="6">
        <f t="shared" si="20"/>
        <v>6106.0770000000011</v>
      </c>
      <c r="W696" s="6">
        <f t="shared" si="21"/>
        <v>220044.92300000001</v>
      </c>
    </row>
    <row r="697" spans="1:23" x14ac:dyDescent="0.3">
      <c r="A697" s="2" t="s">
        <v>21</v>
      </c>
      <c r="B697" s="2">
        <v>1.0169999999999999</v>
      </c>
      <c r="C697" s="2">
        <v>2000078112</v>
      </c>
      <c r="D697" s="2">
        <v>31</v>
      </c>
      <c r="E697" s="2"/>
      <c r="F697" s="2">
        <v>225</v>
      </c>
      <c r="G697" s="2">
        <v>750</v>
      </c>
      <c r="H697" s="2"/>
      <c r="I697" s="2"/>
      <c r="J697" s="3">
        <f>IF(A697="Upgrade",IF(OR(H697=4,H697=5),VLOOKUP(I697,'Renewal Rates'!$A$22:$B$27,2,FALSE),2.7%),IF(A697="Renewal",100%,0%))</f>
        <v>2.7000000000000003E-2</v>
      </c>
      <c r="K697" s="7" t="s">
        <v>50</v>
      </c>
      <c r="L697" s="2">
        <v>385</v>
      </c>
      <c r="M697" s="2" t="s">
        <v>23</v>
      </c>
      <c r="N697" s="2" t="s">
        <v>24</v>
      </c>
      <c r="O697" s="4">
        <v>114803</v>
      </c>
      <c r="P697" s="4">
        <v>3698</v>
      </c>
      <c r="Q697" s="4">
        <v>51026</v>
      </c>
      <c r="R697" s="4">
        <v>201102</v>
      </c>
      <c r="S697" s="5">
        <v>0.4</v>
      </c>
      <c r="T697" s="4">
        <v>80441</v>
      </c>
      <c r="U697" s="4">
        <v>281543</v>
      </c>
      <c r="V697" s="6">
        <f t="shared" si="20"/>
        <v>7601.661000000001</v>
      </c>
      <c r="W697" s="6">
        <f t="shared" si="21"/>
        <v>273941.33899999998</v>
      </c>
    </row>
    <row r="698" spans="1:23" x14ac:dyDescent="0.3">
      <c r="A698" s="2" t="s">
        <v>21</v>
      </c>
      <c r="B698" s="2">
        <v>1.0169999999999999</v>
      </c>
      <c r="C698" s="2">
        <v>3000162117</v>
      </c>
      <c r="D698" s="2">
        <v>35.299999999999997</v>
      </c>
      <c r="E698" s="2"/>
      <c r="F698" s="2">
        <v>225</v>
      </c>
      <c r="G698" s="2">
        <v>750</v>
      </c>
      <c r="H698" s="2"/>
      <c r="I698" s="2"/>
      <c r="J698" s="3">
        <f>IF(A698="Upgrade",IF(OR(H698=4,H698=5),VLOOKUP(I698,'Renewal Rates'!$A$22:$B$27,2,FALSE),2.7%),IF(A698="Renewal",100%,0%))</f>
        <v>2.7000000000000003E-2</v>
      </c>
      <c r="K698" s="7" t="s">
        <v>50</v>
      </c>
      <c r="L698" s="2">
        <v>385</v>
      </c>
      <c r="M698" s="2" t="s">
        <v>23</v>
      </c>
      <c r="N698" s="2" t="s">
        <v>24</v>
      </c>
      <c r="O698" s="4">
        <v>138732</v>
      </c>
      <c r="P698" s="4">
        <v>3925</v>
      </c>
      <c r="Q698" s="4">
        <v>53012</v>
      </c>
      <c r="R698" s="4">
        <v>208929</v>
      </c>
      <c r="S698" s="5">
        <v>0.4</v>
      </c>
      <c r="T698" s="4">
        <v>83572</v>
      </c>
      <c r="U698" s="4">
        <v>292501</v>
      </c>
      <c r="V698" s="6">
        <f t="shared" si="20"/>
        <v>7897.527000000001</v>
      </c>
      <c r="W698" s="6">
        <f t="shared" si="21"/>
        <v>284603.473</v>
      </c>
    </row>
    <row r="699" spans="1:23" x14ac:dyDescent="0.3">
      <c r="A699" s="2" t="s">
        <v>21</v>
      </c>
      <c r="B699" s="2">
        <v>1.0169999999999999</v>
      </c>
      <c r="C699" s="2">
        <v>2000060135</v>
      </c>
      <c r="D699" s="2">
        <v>53.9</v>
      </c>
      <c r="E699" s="2"/>
      <c r="F699" s="2">
        <v>225</v>
      </c>
      <c r="G699" s="2">
        <v>750</v>
      </c>
      <c r="H699" s="2"/>
      <c r="I699" s="2"/>
      <c r="J699" s="3">
        <f>IF(A699="Upgrade",IF(OR(H699=4,H699=5),VLOOKUP(I699,'Renewal Rates'!$A$22:$B$27,2,FALSE),2.7%),IF(A699="Renewal",100%,0%))</f>
        <v>2.7000000000000003E-2</v>
      </c>
      <c r="K699" s="7" t="s">
        <v>50</v>
      </c>
      <c r="L699" s="2">
        <v>385</v>
      </c>
      <c r="M699" s="2" t="s">
        <v>23</v>
      </c>
      <c r="N699" s="2" t="s">
        <v>24</v>
      </c>
      <c r="O699" s="4">
        <v>215445</v>
      </c>
      <c r="P699" s="4">
        <v>3995</v>
      </c>
      <c r="Q699" s="4">
        <v>83148</v>
      </c>
      <c r="R699" s="4">
        <v>327700</v>
      </c>
      <c r="S699" s="5">
        <v>0.4</v>
      </c>
      <c r="T699" s="4">
        <v>131080</v>
      </c>
      <c r="U699" s="4">
        <v>458780</v>
      </c>
      <c r="V699" s="6">
        <f t="shared" si="20"/>
        <v>12387.060000000001</v>
      </c>
      <c r="W699" s="6">
        <f t="shared" si="21"/>
        <v>446392.94</v>
      </c>
    </row>
    <row r="700" spans="1:23" x14ac:dyDescent="0.3">
      <c r="A700" s="2" t="s">
        <v>21</v>
      </c>
      <c r="B700" s="2">
        <v>1.0169999999999999</v>
      </c>
      <c r="C700" s="2">
        <v>2000519928</v>
      </c>
      <c r="D700" s="2">
        <v>27.3</v>
      </c>
      <c r="E700" s="2"/>
      <c r="F700" s="2">
        <v>225</v>
      </c>
      <c r="G700" s="2">
        <v>750</v>
      </c>
      <c r="H700" s="2"/>
      <c r="I700" s="2"/>
      <c r="J700" s="3">
        <f>IF(A700="Upgrade",IF(OR(H700=4,H700=5),VLOOKUP(I700,'Renewal Rates'!$A$22:$B$27,2,FALSE),2.7%),IF(A700="Renewal",100%,0%))</f>
        <v>2.7000000000000003E-2</v>
      </c>
      <c r="K700" s="7" t="s">
        <v>50</v>
      </c>
      <c r="L700" s="2">
        <v>385</v>
      </c>
      <c r="M700" s="2" t="s">
        <v>23</v>
      </c>
      <c r="N700" s="2" t="s">
        <v>24</v>
      </c>
      <c r="O700" s="4">
        <v>110893</v>
      </c>
      <c r="P700" s="4">
        <v>4061</v>
      </c>
      <c r="Q700" s="4">
        <v>42689</v>
      </c>
      <c r="R700" s="4">
        <v>168244</v>
      </c>
      <c r="S700" s="5">
        <v>0.4</v>
      </c>
      <c r="T700" s="4">
        <v>67298</v>
      </c>
      <c r="U700" s="4">
        <v>235542</v>
      </c>
      <c r="V700" s="6">
        <f t="shared" si="20"/>
        <v>6359.6340000000009</v>
      </c>
      <c r="W700" s="6">
        <f t="shared" si="21"/>
        <v>229182.36600000001</v>
      </c>
    </row>
    <row r="701" spans="1:23" x14ac:dyDescent="0.3">
      <c r="A701" s="2" t="s">
        <v>21</v>
      </c>
      <c r="B701" s="2">
        <v>1.0169999999999999</v>
      </c>
      <c r="C701" s="2">
        <v>2000063396</v>
      </c>
      <c r="D701" s="2">
        <v>28.8</v>
      </c>
      <c r="E701" s="2"/>
      <c r="F701" s="2">
        <v>225</v>
      </c>
      <c r="G701" s="2">
        <v>750</v>
      </c>
      <c r="H701" s="2"/>
      <c r="I701" s="2"/>
      <c r="J701" s="3">
        <f>IF(A701="Upgrade",IF(OR(H701=4,H701=5),VLOOKUP(I701,'Renewal Rates'!$A$22:$B$27,2,FALSE),2.7%),IF(A701="Renewal",100%,0%))</f>
        <v>2.7000000000000003E-2</v>
      </c>
      <c r="K701" s="7" t="s">
        <v>50</v>
      </c>
      <c r="L701" s="2">
        <v>385</v>
      </c>
      <c r="M701" s="2" t="s">
        <v>23</v>
      </c>
      <c r="N701" s="2" t="s">
        <v>24</v>
      </c>
      <c r="O701" s="4">
        <v>112445</v>
      </c>
      <c r="P701" s="4">
        <v>3905</v>
      </c>
      <c r="Q701" s="4">
        <v>49983</v>
      </c>
      <c r="R701" s="4">
        <v>196994</v>
      </c>
      <c r="S701" s="5">
        <v>0.4</v>
      </c>
      <c r="T701" s="4">
        <v>78798</v>
      </c>
      <c r="U701" s="4">
        <v>275791</v>
      </c>
      <c r="V701" s="6">
        <f t="shared" si="20"/>
        <v>7446.3570000000009</v>
      </c>
      <c r="W701" s="6">
        <f t="shared" si="21"/>
        <v>268344.64299999998</v>
      </c>
    </row>
    <row r="702" spans="1:23" ht="14.4" customHeight="1" x14ac:dyDescent="0.3">
      <c r="A702" s="2" t="s">
        <v>25</v>
      </c>
      <c r="B702" s="2">
        <v>1.0069999999999999</v>
      </c>
      <c r="C702" s="2">
        <v>0</v>
      </c>
      <c r="D702" s="2"/>
      <c r="E702" s="2">
        <v>85.2</v>
      </c>
      <c r="F702" s="2"/>
      <c r="G702" s="2">
        <v>600</v>
      </c>
      <c r="H702" s="2"/>
      <c r="I702" s="2"/>
      <c r="J702" s="3">
        <f>IF(A702="Upgrade",IF(OR(H702=4,H702=5),VLOOKUP(I702,'Renewal Rates'!$A$22:$B$27,2,FALSE),2.7%),IF(A702="Renewal",100%,0%))</f>
        <v>0</v>
      </c>
      <c r="K702" s="7" t="s">
        <v>50</v>
      </c>
      <c r="L702" s="2">
        <v>385</v>
      </c>
      <c r="M702" s="2" t="s">
        <v>23</v>
      </c>
      <c r="N702" s="2" t="s">
        <v>24</v>
      </c>
      <c r="O702" s="4">
        <v>254247</v>
      </c>
      <c r="P702" s="4">
        <v>2985</v>
      </c>
      <c r="Q702" s="4">
        <v>97249</v>
      </c>
      <c r="R702" s="4">
        <v>383277</v>
      </c>
      <c r="S702" s="5">
        <v>0.4</v>
      </c>
      <c r="T702" s="4">
        <v>153311</v>
      </c>
      <c r="U702" s="4">
        <v>536588</v>
      </c>
      <c r="V702" s="6">
        <f t="shared" si="20"/>
        <v>0</v>
      </c>
      <c r="W702" s="6">
        <f t="shared" si="21"/>
        <v>536588</v>
      </c>
    </row>
    <row r="703" spans="1:23" x14ac:dyDescent="0.3">
      <c r="A703" s="2" t="s">
        <v>25</v>
      </c>
      <c r="B703" s="2">
        <v>1.01</v>
      </c>
      <c r="C703" s="2">
        <v>0</v>
      </c>
      <c r="D703" s="2"/>
      <c r="E703" s="2">
        <v>78</v>
      </c>
      <c r="F703" s="2"/>
      <c r="G703" s="2">
        <v>600</v>
      </c>
      <c r="H703" s="2"/>
      <c r="I703" s="2"/>
      <c r="J703" s="3">
        <f>IF(A703="Upgrade",IF(OR(H703=4,H703=5),VLOOKUP(I703,'Renewal Rates'!$A$22:$B$27,2,FALSE),2.7%),IF(A703="Renewal",100%,0%))</f>
        <v>0</v>
      </c>
      <c r="K703" s="7" t="s">
        <v>50</v>
      </c>
      <c r="L703" s="2">
        <v>385</v>
      </c>
      <c r="M703" s="2" t="s">
        <v>23</v>
      </c>
      <c r="N703" s="2" t="s">
        <v>24</v>
      </c>
      <c r="O703" s="4">
        <v>217312</v>
      </c>
      <c r="P703" s="4">
        <v>2785</v>
      </c>
      <c r="Q703" s="4">
        <v>88121</v>
      </c>
      <c r="R703" s="4">
        <v>347302</v>
      </c>
      <c r="S703" s="5">
        <v>0.4</v>
      </c>
      <c r="T703" s="4">
        <v>138921</v>
      </c>
      <c r="U703" s="4">
        <v>486223</v>
      </c>
      <c r="V703" s="6">
        <f t="shared" si="20"/>
        <v>0</v>
      </c>
      <c r="W703" s="6">
        <f t="shared" si="21"/>
        <v>486223</v>
      </c>
    </row>
    <row r="704" spans="1:23" x14ac:dyDescent="0.3">
      <c r="A704" s="2" t="s">
        <v>21</v>
      </c>
      <c r="B704" s="2">
        <v>2.0150000000000001</v>
      </c>
      <c r="C704" s="2">
        <v>2000484758</v>
      </c>
      <c r="D704" s="2">
        <v>24.3</v>
      </c>
      <c r="E704" s="2"/>
      <c r="F704" s="2">
        <v>450</v>
      </c>
      <c r="G704" s="2">
        <v>675</v>
      </c>
      <c r="H704" s="2"/>
      <c r="I704" s="2"/>
      <c r="J704" s="3">
        <f>IF(A704="Upgrade",IF(OR(H704=4,H704=5),VLOOKUP(I704,'Renewal Rates'!$A$22:$B$27,2,FALSE),2.7%),IF(A704="Renewal",100%,0%))</f>
        <v>2.7000000000000003E-2</v>
      </c>
      <c r="K704" s="2" t="s">
        <v>22</v>
      </c>
      <c r="L704" s="2">
        <v>385</v>
      </c>
      <c r="M704" s="2" t="s">
        <v>23</v>
      </c>
      <c r="N704" s="2" t="s">
        <v>24</v>
      </c>
      <c r="O704" s="4">
        <v>141409</v>
      </c>
      <c r="P704" s="4">
        <v>5810</v>
      </c>
      <c r="Q704" s="4">
        <v>48079</v>
      </c>
      <c r="R704" s="4">
        <v>189488</v>
      </c>
      <c r="S704" s="5">
        <v>0.4</v>
      </c>
      <c r="T704" s="4">
        <v>75795</v>
      </c>
      <c r="U704" s="4">
        <v>265283</v>
      </c>
      <c r="V704" s="6">
        <f t="shared" si="20"/>
        <v>7162.6410000000005</v>
      </c>
      <c r="W704" s="6">
        <f t="shared" si="21"/>
        <v>258120.359</v>
      </c>
    </row>
    <row r="705" spans="1:23" x14ac:dyDescent="0.3">
      <c r="A705" s="2" t="s">
        <v>21</v>
      </c>
      <c r="B705" s="2">
        <v>2.0150000000000001</v>
      </c>
      <c r="C705" s="2">
        <v>2000442952</v>
      </c>
      <c r="D705" s="2">
        <v>74.099999999999994</v>
      </c>
      <c r="E705" s="2"/>
      <c r="F705" s="2">
        <v>450</v>
      </c>
      <c r="G705" s="2">
        <v>675</v>
      </c>
      <c r="H705" s="2"/>
      <c r="I705" s="2"/>
      <c r="J705" s="3">
        <f>IF(A705="Upgrade",IF(OR(H705=4,H705=5),VLOOKUP(I705,'Renewal Rates'!$A$22:$B$27,2,FALSE),2.7%),IF(A705="Renewal",100%,0%))</f>
        <v>2.7000000000000003E-2</v>
      </c>
      <c r="K705" s="2" t="s">
        <v>22</v>
      </c>
      <c r="L705" s="2">
        <v>385</v>
      </c>
      <c r="M705" s="2" t="s">
        <v>23</v>
      </c>
      <c r="N705" s="2" t="s">
        <v>24</v>
      </c>
      <c r="O705" s="4">
        <v>299675</v>
      </c>
      <c r="P705" s="4">
        <v>4045</v>
      </c>
      <c r="Q705" s="4">
        <v>101890</v>
      </c>
      <c r="R705" s="4">
        <v>401565</v>
      </c>
      <c r="S705" s="5">
        <v>0.4</v>
      </c>
      <c r="T705" s="4">
        <v>160626</v>
      </c>
      <c r="U705" s="4">
        <v>562191</v>
      </c>
      <c r="V705" s="6">
        <f t="shared" si="20"/>
        <v>15179.157000000001</v>
      </c>
      <c r="W705" s="6">
        <f t="shared" si="21"/>
        <v>547011.84299999999</v>
      </c>
    </row>
    <row r="706" spans="1:23" x14ac:dyDescent="0.3">
      <c r="A706" s="2" t="s">
        <v>21</v>
      </c>
      <c r="B706" s="2">
        <v>2.0150000000000001</v>
      </c>
      <c r="C706" s="2">
        <v>2000874869</v>
      </c>
      <c r="D706" s="2">
        <v>20.100000000000001</v>
      </c>
      <c r="E706" s="2"/>
      <c r="F706" s="2">
        <v>225</v>
      </c>
      <c r="G706" s="2">
        <v>675</v>
      </c>
      <c r="H706" s="2"/>
      <c r="I706" s="2"/>
      <c r="J706" s="3">
        <f>IF(A706="Upgrade",IF(OR(H706=4,H706=5),VLOOKUP(I706,'Renewal Rates'!$A$22:$B$27,2,FALSE),2.7%),IF(A706="Renewal",100%,0%))</f>
        <v>2.7000000000000003E-2</v>
      </c>
      <c r="K706" s="2" t="s">
        <v>22</v>
      </c>
      <c r="L706" s="2">
        <v>385</v>
      </c>
      <c r="M706" s="2" t="s">
        <v>23</v>
      </c>
      <c r="N706" s="2" t="s">
        <v>24</v>
      </c>
      <c r="O706" s="4">
        <v>93556</v>
      </c>
      <c r="P706" s="4">
        <v>4644</v>
      </c>
      <c r="Q706" s="4">
        <v>31809</v>
      </c>
      <c r="R706" s="4">
        <v>125365</v>
      </c>
      <c r="S706" s="5">
        <v>0.4</v>
      </c>
      <c r="T706" s="4">
        <v>50146</v>
      </c>
      <c r="U706" s="4">
        <v>175511</v>
      </c>
      <c r="V706" s="6">
        <f t="shared" si="20"/>
        <v>4738.7970000000005</v>
      </c>
      <c r="W706" s="6">
        <f t="shared" si="21"/>
        <v>170772.20300000001</v>
      </c>
    </row>
    <row r="707" spans="1:23" x14ac:dyDescent="0.3">
      <c r="A707" s="2" t="s">
        <v>21</v>
      </c>
      <c r="B707" s="2">
        <v>2.0150000000000001</v>
      </c>
      <c r="C707" s="2">
        <v>2000536595</v>
      </c>
      <c r="D707" s="2">
        <v>53.8</v>
      </c>
      <c r="E707" s="2"/>
      <c r="F707" s="2">
        <v>225</v>
      </c>
      <c r="G707" s="2">
        <v>675</v>
      </c>
      <c r="H707" s="2"/>
      <c r="I707" s="2"/>
      <c r="J707" s="3">
        <f>IF(A707="Upgrade",IF(OR(H707=4,H707=5),VLOOKUP(I707,'Renewal Rates'!$A$22:$B$27,2,FALSE),2.7%),IF(A707="Renewal",100%,0%))</f>
        <v>2.7000000000000003E-2</v>
      </c>
      <c r="K707" s="2" t="s">
        <v>22</v>
      </c>
      <c r="L707" s="2">
        <v>385</v>
      </c>
      <c r="M707" s="2" t="s">
        <v>23</v>
      </c>
      <c r="N707" s="2" t="s">
        <v>24</v>
      </c>
      <c r="O707" s="4">
        <v>236564</v>
      </c>
      <c r="P707" s="4">
        <v>4395</v>
      </c>
      <c r="Q707" s="4">
        <v>80432</v>
      </c>
      <c r="R707" s="4">
        <v>316996</v>
      </c>
      <c r="S707" s="5">
        <v>0.4</v>
      </c>
      <c r="T707" s="4">
        <v>126798</v>
      </c>
      <c r="U707" s="4">
        <v>443794</v>
      </c>
      <c r="V707" s="6">
        <f t="shared" ref="V707:V770" si="22">J707*U707</f>
        <v>11982.438000000002</v>
      </c>
      <c r="W707" s="6">
        <f t="shared" ref="W707:W770" si="23">U707-V707</f>
        <v>431811.56199999998</v>
      </c>
    </row>
    <row r="708" spans="1:23" x14ac:dyDescent="0.3">
      <c r="A708" s="2" t="s">
        <v>21</v>
      </c>
      <c r="B708" s="2">
        <v>2.0150000000000001</v>
      </c>
      <c r="C708" s="2">
        <v>2000134287</v>
      </c>
      <c r="D708" s="2">
        <v>5.6</v>
      </c>
      <c r="E708" s="2"/>
      <c r="F708" s="2">
        <v>225</v>
      </c>
      <c r="G708" s="2">
        <v>675</v>
      </c>
      <c r="H708" s="2"/>
      <c r="I708" s="2"/>
      <c r="J708" s="3">
        <f>IF(A708="Upgrade",IF(OR(H708=4,H708=5),VLOOKUP(I708,'Renewal Rates'!$A$22:$B$27,2,FALSE),2.7%),IF(A708="Renewal",100%,0%))</f>
        <v>2.7000000000000003E-2</v>
      </c>
      <c r="K708" s="2" t="s">
        <v>22</v>
      </c>
      <c r="L708" s="2">
        <v>385</v>
      </c>
      <c r="M708" s="2" t="s">
        <v>23</v>
      </c>
      <c r="N708" s="2" t="s">
        <v>24</v>
      </c>
      <c r="O708" s="4">
        <v>56715</v>
      </c>
      <c r="P708" s="4">
        <v>10124</v>
      </c>
      <c r="Q708" s="4">
        <v>19283</v>
      </c>
      <c r="R708" s="4">
        <v>75999</v>
      </c>
      <c r="S708" s="5">
        <v>0.4</v>
      </c>
      <c r="T708" s="4">
        <v>30399</v>
      </c>
      <c r="U708" s="4">
        <v>106398</v>
      </c>
      <c r="V708" s="6">
        <f t="shared" si="22"/>
        <v>2872.7460000000005</v>
      </c>
      <c r="W708" s="6">
        <f t="shared" si="23"/>
        <v>103525.254</v>
      </c>
    </row>
    <row r="709" spans="1:23" x14ac:dyDescent="0.3">
      <c r="A709" s="2" t="s">
        <v>21</v>
      </c>
      <c r="B709" s="2">
        <v>2.0150000000000001</v>
      </c>
      <c r="C709" s="2">
        <v>2000972981</v>
      </c>
      <c r="D709" s="2">
        <v>7.1</v>
      </c>
      <c r="E709" s="2"/>
      <c r="F709" s="2">
        <v>225</v>
      </c>
      <c r="G709" s="2">
        <v>675</v>
      </c>
      <c r="H709" s="2"/>
      <c r="I709" s="2"/>
      <c r="J709" s="3">
        <f>IF(A709="Upgrade",IF(OR(H709=4,H709=5),VLOOKUP(I709,'Renewal Rates'!$A$22:$B$27,2,FALSE),2.7%),IF(A709="Renewal",100%,0%))</f>
        <v>2.7000000000000003E-2</v>
      </c>
      <c r="K709" s="2" t="s">
        <v>22</v>
      </c>
      <c r="L709" s="2">
        <v>385</v>
      </c>
      <c r="M709" s="2" t="s">
        <v>23</v>
      </c>
      <c r="N709" s="2" t="s">
        <v>24</v>
      </c>
      <c r="O709" s="4">
        <v>58534</v>
      </c>
      <c r="P709" s="4">
        <v>8219</v>
      </c>
      <c r="Q709" s="4">
        <v>19902</v>
      </c>
      <c r="R709" s="4">
        <v>78436</v>
      </c>
      <c r="S709" s="5">
        <v>0.4</v>
      </c>
      <c r="T709" s="4">
        <v>31374</v>
      </c>
      <c r="U709" s="4">
        <v>109811</v>
      </c>
      <c r="V709" s="6">
        <f t="shared" si="22"/>
        <v>2964.8970000000004</v>
      </c>
      <c r="W709" s="6">
        <f t="shared" si="23"/>
        <v>106846.103</v>
      </c>
    </row>
    <row r="710" spans="1:23" x14ac:dyDescent="0.3">
      <c r="A710" s="2" t="s">
        <v>21</v>
      </c>
      <c r="B710" s="2">
        <v>2.0150000000000001</v>
      </c>
      <c r="C710" s="2">
        <v>2000670809</v>
      </c>
      <c r="D710" s="2">
        <v>64.599999999999994</v>
      </c>
      <c r="E710" s="2"/>
      <c r="F710" s="2">
        <v>225</v>
      </c>
      <c r="G710" s="2">
        <v>675</v>
      </c>
      <c r="H710" s="2"/>
      <c r="I710" s="2"/>
      <c r="J710" s="3">
        <f>IF(A710="Upgrade",IF(OR(H710=4,H710=5),VLOOKUP(I710,'Renewal Rates'!$A$22:$B$27,2,FALSE),2.7%),IF(A710="Renewal",100%,0%))</f>
        <v>2.7000000000000003E-2</v>
      </c>
      <c r="K710" s="2" t="s">
        <v>22</v>
      </c>
      <c r="L710" s="2">
        <v>385</v>
      </c>
      <c r="M710" s="2" t="s">
        <v>23</v>
      </c>
      <c r="N710" s="2" t="s">
        <v>24</v>
      </c>
      <c r="O710" s="4">
        <v>268937</v>
      </c>
      <c r="P710" s="4">
        <v>4161</v>
      </c>
      <c r="Q710" s="4">
        <v>91439</v>
      </c>
      <c r="R710" s="4">
        <v>360375</v>
      </c>
      <c r="S710" s="5">
        <v>0.4</v>
      </c>
      <c r="T710" s="4">
        <v>144150</v>
      </c>
      <c r="U710" s="4">
        <v>504525</v>
      </c>
      <c r="V710" s="6">
        <f t="shared" si="22"/>
        <v>13622.175000000001</v>
      </c>
      <c r="W710" s="6">
        <f t="shared" si="23"/>
        <v>490902.82500000001</v>
      </c>
    </row>
    <row r="711" spans="1:23" x14ac:dyDescent="0.3">
      <c r="A711" s="2" t="s">
        <v>21</v>
      </c>
      <c r="B711" s="2">
        <v>2.0150000000000001</v>
      </c>
      <c r="C711" s="2">
        <v>2000222998</v>
      </c>
      <c r="D711" s="2">
        <v>10.7</v>
      </c>
      <c r="E711" s="2"/>
      <c r="F711" s="2">
        <v>225</v>
      </c>
      <c r="G711" s="2">
        <v>675</v>
      </c>
      <c r="H711" s="2"/>
      <c r="I711" s="2"/>
      <c r="J711" s="3">
        <f>IF(A711="Upgrade",IF(OR(H711=4,H711=5),VLOOKUP(I711,'Renewal Rates'!$A$22:$B$27,2,FALSE),2.7%),IF(A711="Renewal",100%,0%))</f>
        <v>2.7000000000000003E-2</v>
      </c>
      <c r="K711" s="2" t="s">
        <v>22</v>
      </c>
      <c r="L711" s="2">
        <v>385</v>
      </c>
      <c r="M711" s="2" t="s">
        <v>23</v>
      </c>
      <c r="N711" s="2" t="s">
        <v>24</v>
      </c>
      <c r="O711" s="4">
        <v>82261</v>
      </c>
      <c r="P711" s="4">
        <v>7683</v>
      </c>
      <c r="Q711" s="4">
        <v>27969</v>
      </c>
      <c r="R711" s="4">
        <v>110230</v>
      </c>
      <c r="S711" s="5">
        <v>0.4</v>
      </c>
      <c r="T711" s="4">
        <v>44092</v>
      </c>
      <c r="U711" s="4">
        <v>154323</v>
      </c>
      <c r="V711" s="6">
        <f t="shared" si="22"/>
        <v>4166.7210000000005</v>
      </c>
      <c r="W711" s="6">
        <f t="shared" si="23"/>
        <v>150156.27900000001</v>
      </c>
    </row>
    <row r="712" spans="1:23" x14ac:dyDescent="0.3">
      <c r="A712" s="2" t="s">
        <v>25</v>
      </c>
      <c r="B712" s="2">
        <v>2.048</v>
      </c>
      <c r="C712" s="2"/>
      <c r="D712" s="2"/>
      <c r="E712" s="2">
        <v>73.099999999999994</v>
      </c>
      <c r="F712" s="2"/>
      <c r="G712" s="2">
        <v>450</v>
      </c>
      <c r="H712" s="2"/>
      <c r="I712" s="2"/>
      <c r="J712" s="3">
        <f>IF(A712="Upgrade",IF(OR(H712=4,H712=5),VLOOKUP(I712,'Renewal Rates'!$A$22:$B$27,2,FALSE),2.7%),IF(A712="Renewal",100%,0%))</f>
        <v>0</v>
      </c>
      <c r="K712" s="2" t="s">
        <v>22</v>
      </c>
      <c r="L712" s="2">
        <v>385</v>
      </c>
      <c r="M712" s="2" t="s">
        <v>23</v>
      </c>
      <c r="N712" s="2" t="s">
        <v>24</v>
      </c>
      <c r="O712" s="4">
        <v>213038</v>
      </c>
      <c r="P712" s="4">
        <v>2913</v>
      </c>
      <c r="Q712" s="4">
        <v>72433</v>
      </c>
      <c r="R712" s="4">
        <v>285471</v>
      </c>
      <c r="S712" s="5">
        <v>0.4</v>
      </c>
      <c r="T712" s="4">
        <v>114188</v>
      </c>
      <c r="U712" s="4">
        <v>399660</v>
      </c>
      <c r="V712" s="6">
        <f t="shared" si="22"/>
        <v>0</v>
      </c>
      <c r="W712" s="6">
        <f t="shared" si="23"/>
        <v>399660</v>
      </c>
    </row>
    <row r="713" spans="1:23" x14ac:dyDescent="0.3">
      <c r="A713" s="2" t="s">
        <v>21</v>
      </c>
      <c r="B713" s="2">
        <v>2.016</v>
      </c>
      <c r="C713" s="2">
        <v>2000445965</v>
      </c>
      <c r="D713" s="2">
        <v>70</v>
      </c>
      <c r="E713" s="2"/>
      <c r="F713" s="2">
        <v>375</v>
      </c>
      <c r="G713" s="2">
        <v>750</v>
      </c>
      <c r="H713" s="2">
        <v>4</v>
      </c>
      <c r="I713" s="2">
        <v>2</v>
      </c>
      <c r="J713" s="3">
        <f>IF(A713="Upgrade",IF(OR(H713=4,H713=5),VLOOKUP(I713,'Renewal Rates'!$A$22:$B$27,2,FALSE),2.7%),IF(A713="Renewal",100%,0%))</f>
        <v>0</v>
      </c>
      <c r="K713" s="7" t="s">
        <v>50</v>
      </c>
      <c r="L713" s="2">
        <v>385</v>
      </c>
      <c r="M713" s="2" t="s">
        <v>23</v>
      </c>
      <c r="N713" s="2" t="s">
        <v>24</v>
      </c>
      <c r="O713" s="4">
        <v>251693</v>
      </c>
      <c r="P713" s="4">
        <v>3596</v>
      </c>
      <c r="Q713" s="4">
        <v>103797</v>
      </c>
      <c r="R713" s="4">
        <v>409081</v>
      </c>
      <c r="S713" s="5">
        <v>0.4</v>
      </c>
      <c r="T713" s="4">
        <v>163633</v>
      </c>
      <c r="U713" s="4">
        <v>572714</v>
      </c>
      <c r="V713" s="6">
        <f t="shared" si="22"/>
        <v>0</v>
      </c>
      <c r="W713" s="6">
        <f t="shared" si="23"/>
        <v>572714</v>
      </c>
    </row>
    <row r="714" spans="1:23" x14ac:dyDescent="0.3">
      <c r="A714" s="2" t="s">
        <v>21</v>
      </c>
      <c r="B714" s="2">
        <v>2.016</v>
      </c>
      <c r="C714" s="2">
        <v>2000840688</v>
      </c>
      <c r="D714" s="2">
        <v>4.7</v>
      </c>
      <c r="E714" s="2"/>
      <c r="F714" s="2">
        <v>225</v>
      </c>
      <c r="G714" s="2">
        <v>750</v>
      </c>
      <c r="H714" s="2"/>
      <c r="I714" s="2"/>
      <c r="J714" s="3">
        <f>IF(A714="Upgrade",IF(OR(H714=4,H714=5),VLOOKUP(I714,'Renewal Rates'!$A$22:$B$27,2,FALSE),2.7%),IF(A714="Renewal",100%,0%))</f>
        <v>2.7000000000000003E-2</v>
      </c>
      <c r="K714" s="7" t="s">
        <v>50</v>
      </c>
      <c r="L714" s="2">
        <v>385</v>
      </c>
      <c r="M714" s="2" t="s">
        <v>23</v>
      </c>
      <c r="N714" s="2" t="s">
        <v>24</v>
      </c>
      <c r="O714" s="4">
        <v>48418</v>
      </c>
      <c r="P714" s="4">
        <v>10210</v>
      </c>
      <c r="Q714" s="4">
        <v>19038</v>
      </c>
      <c r="R714" s="4">
        <v>75033</v>
      </c>
      <c r="S714" s="5">
        <v>0.4</v>
      </c>
      <c r="T714" s="4">
        <v>30013</v>
      </c>
      <c r="U714" s="4">
        <v>105046</v>
      </c>
      <c r="V714" s="6">
        <f t="shared" si="22"/>
        <v>2836.2420000000002</v>
      </c>
      <c r="W714" s="6">
        <f t="shared" si="23"/>
        <v>102209.758</v>
      </c>
    </row>
    <row r="715" spans="1:23" x14ac:dyDescent="0.3">
      <c r="A715" s="2" t="s">
        <v>21</v>
      </c>
      <c r="B715" s="2">
        <v>2.016</v>
      </c>
      <c r="C715" s="2">
        <v>2000344130</v>
      </c>
      <c r="D715" s="2">
        <v>31.1</v>
      </c>
      <c r="E715" s="2"/>
      <c r="F715" s="2">
        <v>225</v>
      </c>
      <c r="G715" s="2">
        <v>750</v>
      </c>
      <c r="H715" s="2"/>
      <c r="I715" s="2"/>
      <c r="J715" s="3">
        <f>IF(A715="Upgrade",IF(OR(H715=4,H715=5),VLOOKUP(I715,'Renewal Rates'!$A$22:$B$27,2,FALSE),2.7%),IF(A715="Renewal",100%,0%))</f>
        <v>2.7000000000000003E-2</v>
      </c>
      <c r="K715" s="7" t="s">
        <v>50</v>
      </c>
      <c r="L715" s="2">
        <v>385</v>
      </c>
      <c r="M715" s="2" t="s">
        <v>23</v>
      </c>
      <c r="N715" s="2" t="s">
        <v>24</v>
      </c>
      <c r="O715" s="4">
        <v>114884</v>
      </c>
      <c r="P715" s="4">
        <v>3691</v>
      </c>
      <c r="Q715" s="4">
        <v>51062</v>
      </c>
      <c r="R715" s="4">
        <v>201244</v>
      </c>
      <c r="S715" s="5">
        <v>0.4</v>
      </c>
      <c r="T715" s="4">
        <v>80498</v>
      </c>
      <c r="U715" s="4">
        <v>281741</v>
      </c>
      <c r="V715" s="6">
        <f t="shared" si="22"/>
        <v>7607.0070000000005</v>
      </c>
      <c r="W715" s="6">
        <f t="shared" si="23"/>
        <v>274133.99300000002</v>
      </c>
    </row>
    <row r="716" spans="1:23" x14ac:dyDescent="0.3">
      <c r="A716" s="2" t="s">
        <v>21</v>
      </c>
      <c r="B716" s="2">
        <v>2.016</v>
      </c>
      <c r="C716" s="2">
        <v>2000587454</v>
      </c>
      <c r="D716" s="2">
        <v>9.8000000000000007</v>
      </c>
      <c r="E716" s="2"/>
      <c r="F716" s="2">
        <v>225</v>
      </c>
      <c r="G716" s="2">
        <v>750</v>
      </c>
      <c r="H716" s="2"/>
      <c r="I716" s="2"/>
      <c r="J716" s="3">
        <f>IF(A716="Upgrade",IF(OR(H716=4,H716=5),VLOOKUP(I716,'Renewal Rates'!$A$22:$B$27,2,FALSE),2.7%),IF(A716="Renewal",100%,0%))</f>
        <v>2.7000000000000003E-2</v>
      </c>
      <c r="K716" s="7" t="s">
        <v>50</v>
      </c>
      <c r="L716" s="2">
        <v>385</v>
      </c>
      <c r="M716" s="2" t="s">
        <v>23</v>
      </c>
      <c r="N716" s="2" t="s">
        <v>24</v>
      </c>
      <c r="O716" s="4">
        <v>53715</v>
      </c>
      <c r="P716" s="4">
        <v>5477</v>
      </c>
      <c r="Q716" s="4">
        <v>27989</v>
      </c>
      <c r="R716" s="4">
        <v>110308</v>
      </c>
      <c r="S716" s="5">
        <v>0.4</v>
      </c>
      <c r="T716" s="4">
        <v>44123</v>
      </c>
      <c r="U716" s="4">
        <v>154432</v>
      </c>
      <c r="V716" s="6">
        <f t="shared" si="22"/>
        <v>4169.6640000000007</v>
      </c>
      <c r="W716" s="6">
        <f t="shared" si="23"/>
        <v>150262.33600000001</v>
      </c>
    </row>
    <row r="717" spans="1:23" x14ac:dyDescent="0.3">
      <c r="A717" s="2" t="s">
        <v>21</v>
      </c>
      <c r="B717" s="2">
        <v>2.016</v>
      </c>
      <c r="C717" s="2">
        <v>2000795065</v>
      </c>
      <c r="D717" s="2">
        <v>59.2</v>
      </c>
      <c r="E717" s="2"/>
      <c r="F717" s="2">
        <v>225</v>
      </c>
      <c r="G717" s="2">
        <v>750</v>
      </c>
      <c r="H717" s="2"/>
      <c r="I717" s="2"/>
      <c r="J717" s="3">
        <f>IF(A717="Upgrade",IF(OR(H717=4,H717=5),VLOOKUP(I717,'Renewal Rates'!$A$22:$B$27,2,FALSE),2.7%),IF(A717="Renewal",100%,0%))</f>
        <v>2.7000000000000003E-2</v>
      </c>
      <c r="K717" s="7" t="s">
        <v>50</v>
      </c>
      <c r="L717" s="2">
        <v>385</v>
      </c>
      <c r="M717" s="2" t="s">
        <v>23</v>
      </c>
      <c r="N717" s="2" t="s">
        <v>24</v>
      </c>
      <c r="O717" s="4">
        <v>220948</v>
      </c>
      <c r="P717" s="4">
        <v>3733</v>
      </c>
      <c r="Q717" s="4">
        <v>92189</v>
      </c>
      <c r="R717" s="4">
        <v>363334</v>
      </c>
      <c r="S717" s="5">
        <v>0.4</v>
      </c>
      <c r="T717" s="4">
        <v>145334</v>
      </c>
      <c r="U717" s="4">
        <v>508668</v>
      </c>
      <c r="V717" s="6">
        <f t="shared" si="22"/>
        <v>13734.036000000002</v>
      </c>
      <c r="W717" s="6">
        <f t="shared" si="23"/>
        <v>494933.96399999998</v>
      </c>
    </row>
    <row r="718" spans="1:23" x14ac:dyDescent="0.3">
      <c r="A718" s="2" t="s">
        <v>21</v>
      </c>
      <c r="B718" s="2">
        <v>2.0329999999999999</v>
      </c>
      <c r="C718" s="2">
        <v>2000678112</v>
      </c>
      <c r="D718" s="2">
        <v>35.6</v>
      </c>
      <c r="E718" s="2"/>
      <c r="F718" s="2">
        <v>225</v>
      </c>
      <c r="G718" s="2">
        <v>525</v>
      </c>
      <c r="H718" s="2"/>
      <c r="I718" s="2"/>
      <c r="J718" s="3">
        <f>IF(A718="Upgrade",IF(OR(H718=4,H718=5),VLOOKUP(I718,'Renewal Rates'!$A$22:$B$27,2,FALSE),2.7%),IF(A718="Renewal",100%,0%))</f>
        <v>2.7000000000000003E-2</v>
      </c>
      <c r="K718" s="7" t="s">
        <v>50</v>
      </c>
      <c r="L718" s="2">
        <v>385</v>
      </c>
      <c r="M718" s="2" t="s">
        <v>23</v>
      </c>
      <c r="N718" s="2" t="s">
        <v>24</v>
      </c>
      <c r="O718" s="4">
        <v>90893</v>
      </c>
      <c r="P718" s="4">
        <v>2555</v>
      </c>
      <c r="Q718" s="4">
        <v>38713</v>
      </c>
      <c r="R718" s="4">
        <v>152573</v>
      </c>
      <c r="S718" s="5">
        <v>0.4</v>
      </c>
      <c r="T718" s="4">
        <v>61029</v>
      </c>
      <c r="U718" s="4">
        <v>213602</v>
      </c>
      <c r="V718" s="6">
        <f t="shared" si="22"/>
        <v>5767.2540000000008</v>
      </c>
      <c r="W718" s="6">
        <f t="shared" si="23"/>
        <v>207834.74599999998</v>
      </c>
    </row>
    <row r="719" spans="1:23" x14ac:dyDescent="0.3">
      <c r="A719" s="2" t="s">
        <v>25</v>
      </c>
      <c r="B719" s="2">
        <v>2.0219999999999998</v>
      </c>
      <c r="C719" s="2">
        <v>0</v>
      </c>
      <c r="D719" s="2"/>
      <c r="E719" s="2">
        <v>69.900000000000006</v>
      </c>
      <c r="F719" s="2"/>
      <c r="G719" s="2">
        <v>450</v>
      </c>
      <c r="H719" s="2"/>
      <c r="I719" s="2"/>
      <c r="J719" s="3">
        <f>IF(A719="Upgrade",IF(OR(H719=4,H719=5),VLOOKUP(I719,'Renewal Rates'!$A$22:$B$27,2,FALSE),2.7%),IF(A719="Renewal",100%,0%))</f>
        <v>0</v>
      </c>
      <c r="K719" s="7" t="s">
        <v>50</v>
      </c>
      <c r="L719" s="2">
        <v>385</v>
      </c>
      <c r="M719" s="2" t="s">
        <v>23</v>
      </c>
      <c r="N719" s="2" t="s">
        <v>24</v>
      </c>
      <c r="O719" s="4">
        <v>158951</v>
      </c>
      <c r="P719" s="4">
        <v>2274</v>
      </c>
      <c r="Q719" s="4">
        <v>65044</v>
      </c>
      <c r="R719" s="4">
        <v>256351</v>
      </c>
      <c r="S719" s="5">
        <v>0.4</v>
      </c>
      <c r="T719" s="4">
        <v>102540</v>
      </c>
      <c r="U719" s="4">
        <v>358891</v>
      </c>
      <c r="V719" s="6">
        <f t="shared" si="22"/>
        <v>0</v>
      </c>
      <c r="W719" s="6">
        <f t="shared" si="23"/>
        <v>358891</v>
      </c>
    </row>
    <row r="720" spans="1:23" x14ac:dyDescent="0.3">
      <c r="A720" s="2" t="s">
        <v>25</v>
      </c>
      <c r="B720" s="2">
        <v>2.0499999999999998</v>
      </c>
      <c r="C720" s="2">
        <v>0</v>
      </c>
      <c r="D720" s="2"/>
      <c r="E720" s="2">
        <v>76.900000000000006</v>
      </c>
      <c r="F720" s="2"/>
      <c r="G720" s="2">
        <v>600</v>
      </c>
      <c r="H720" s="2"/>
      <c r="I720" s="2"/>
      <c r="J720" s="3">
        <f>IF(A720="Upgrade",IF(OR(H720=4,H720=5),VLOOKUP(I720,'Renewal Rates'!$A$22:$B$27,2,FALSE),2.7%),IF(A720="Renewal",100%,0%))</f>
        <v>0</v>
      </c>
      <c r="K720" s="7" t="s">
        <v>50</v>
      </c>
      <c r="L720" s="2">
        <v>385</v>
      </c>
      <c r="M720" s="2" t="s">
        <v>23</v>
      </c>
      <c r="N720" s="2" t="s">
        <v>24</v>
      </c>
      <c r="O720" s="4">
        <v>216498</v>
      </c>
      <c r="P720" s="4">
        <v>2815</v>
      </c>
      <c r="Q720" s="4">
        <v>87726</v>
      </c>
      <c r="R720" s="4">
        <v>345743</v>
      </c>
      <c r="S720" s="5">
        <v>0.4</v>
      </c>
      <c r="T720" s="4">
        <v>138297</v>
      </c>
      <c r="U720" s="4">
        <v>484040</v>
      </c>
      <c r="V720" s="6">
        <f t="shared" si="22"/>
        <v>0</v>
      </c>
      <c r="W720" s="6">
        <f t="shared" si="23"/>
        <v>484040</v>
      </c>
    </row>
    <row r="721" spans="1:23" x14ac:dyDescent="0.3">
      <c r="A721" s="2" t="s">
        <v>21</v>
      </c>
      <c r="B721" s="2">
        <v>2.0310000000000001</v>
      </c>
      <c r="C721" s="2">
        <v>3000186341</v>
      </c>
      <c r="D721" s="2">
        <v>21.3</v>
      </c>
      <c r="E721" s="2"/>
      <c r="F721" s="2">
        <v>450</v>
      </c>
      <c r="G721" s="2">
        <v>825</v>
      </c>
      <c r="H721" s="2"/>
      <c r="I721" s="2"/>
      <c r="J721" s="3">
        <f>IF(A721="Upgrade",IF(OR(H721=4,H721=5),VLOOKUP(I721,'Renewal Rates'!$A$22:$B$27,2,FALSE),2.7%),IF(A721="Renewal",100%,0%))</f>
        <v>2.7000000000000003E-2</v>
      </c>
      <c r="K721" s="2" t="s">
        <v>51</v>
      </c>
      <c r="L721" s="2">
        <v>385</v>
      </c>
      <c r="M721" s="2" t="s">
        <v>23</v>
      </c>
      <c r="N721" s="2" t="s">
        <v>24</v>
      </c>
      <c r="O721" s="4">
        <v>143845</v>
      </c>
      <c r="P721" s="4">
        <v>6747</v>
      </c>
      <c r="Q721" s="4">
        <v>48907</v>
      </c>
      <c r="R721" s="4">
        <v>192753</v>
      </c>
      <c r="S721" s="5">
        <v>0.4</v>
      </c>
      <c r="T721" s="4">
        <v>77101</v>
      </c>
      <c r="U721" s="4">
        <v>269854</v>
      </c>
      <c r="V721" s="6">
        <f t="shared" si="22"/>
        <v>7286.0580000000009</v>
      </c>
      <c r="W721" s="6">
        <f t="shared" si="23"/>
        <v>262567.94199999998</v>
      </c>
    </row>
    <row r="722" spans="1:23" x14ac:dyDescent="0.3">
      <c r="A722" s="2" t="s">
        <v>21</v>
      </c>
      <c r="B722" s="2">
        <v>2.0310000000000001</v>
      </c>
      <c r="C722" s="2">
        <v>2000605256</v>
      </c>
      <c r="D722" s="2">
        <v>29</v>
      </c>
      <c r="E722" s="2"/>
      <c r="F722" s="2">
        <v>450</v>
      </c>
      <c r="G722" s="2">
        <v>825</v>
      </c>
      <c r="H722" s="2"/>
      <c r="I722" s="2"/>
      <c r="J722" s="3">
        <f>IF(A722="Upgrade",IF(OR(H722=4,H722=5),VLOOKUP(I722,'Renewal Rates'!$A$22:$B$27,2,FALSE),2.7%),IF(A722="Renewal",100%,0%))</f>
        <v>2.7000000000000003E-2</v>
      </c>
      <c r="K722" s="2" t="s">
        <v>51</v>
      </c>
      <c r="L722" s="2">
        <v>385</v>
      </c>
      <c r="M722" s="2" t="s">
        <v>23</v>
      </c>
      <c r="N722" s="2" t="s">
        <v>24</v>
      </c>
      <c r="O722" s="4">
        <v>151550</v>
      </c>
      <c r="P722" s="4">
        <v>5230</v>
      </c>
      <c r="Q722" s="4">
        <v>51527</v>
      </c>
      <c r="R722" s="4">
        <v>203077</v>
      </c>
      <c r="S722" s="5">
        <v>0.4</v>
      </c>
      <c r="T722" s="4">
        <v>81231</v>
      </c>
      <c r="U722" s="4">
        <v>284307</v>
      </c>
      <c r="V722" s="6">
        <f t="shared" si="22"/>
        <v>7676.2890000000007</v>
      </c>
      <c r="W722" s="6">
        <f t="shared" si="23"/>
        <v>276630.71100000001</v>
      </c>
    </row>
    <row r="723" spans="1:23" x14ac:dyDescent="0.3">
      <c r="A723" s="2" t="s">
        <v>21</v>
      </c>
      <c r="B723" s="2">
        <v>2.0310000000000001</v>
      </c>
      <c r="C723" s="2">
        <v>2000033426</v>
      </c>
      <c r="D723" s="2">
        <v>81.599999999999994</v>
      </c>
      <c r="E723" s="2"/>
      <c r="F723" s="2">
        <v>450</v>
      </c>
      <c r="G723" s="2">
        <v>825</v>
      </c>
      <c r="H723" s="2">
        <v>4</v>
      </c>
      <c r="I723" s="2">
        <v>2</v>
      </c>
      <c r="J723" s="3">
        <f>IF(A723="Upgrade",IF(OR(H723=4,H723=5),VLOOKUP(I723,'Renewal Rates'!$A$22:$B$27,2,FALSE),2.7%),IF(A723="Renewal",100%,0%))</f>
        <v>0</v>
      </c>
      <c r="K723" s="2" t="s">
        <v>51</v>
      </c>
      <c r="L723" s="2">
        <v>385</v>
      </c>
      <c r="M723" s="2" t="s">
        <v>23</v>
      </c>
      <c r="N723" s="2" t="s">
        <v>24</v>
      </c>
      <c r="O723" s="4">
        <v>372340</v>
      </c>
      <c r="P723" s="4">
        <v>4565</v>
      </c>
      <c r="Q723" s="4">
        <v>126596</v>
      </c>
      <c r="R723" s="4">
        <v>498936</v>
      </c>
      <c r="S723" s="5">
        <v>0.4</v>
      </c>
      <c r="T723" s="4">
        <v>199574</v>
      </c>
      <c r="U723" s="4">
        <v>698510</v>
      </c>
      <c r="V723" s="6">
        <f t="shared" si="22"/>
        <v>0</v>
      </c>
      <c r="W723" s="6">
        <f t="shared" si="23"/>
        <v>698510</v>
      </c>
    </row>
    <row r="724" spans="1:23" x14ac:dyDescent="0.3">
      <c r="A724" s="2" t="s">
        <v>21</v>
      </c>
      <c r="B724" s="2">
        <v>2.06</v>
      </c>
      <c r="C724" s="2">
        <v>2000014482</v>
      </c>
      <c r="D724" s="2">
        <v>62.7</v>
      </c>
      <c r="E724" s="2"/>
      <c r="F724" s="2">
        <v>450</v>
      </c>
      <c r="G724" s="2">
        <v>825</v>
      </c>
      <c r="H724" s="2"/>
      <c r="I724" s="2"/>
      <c r="J724" s="3">
        <f>IF(A724="Upgrade",IF(OR(H724=4,H724=5),VLOOKUP(I724,'Renewal Rates'!$A$22:$B$27,2,FALSE),2.7%),IF(A724="Renewal",100%,0%))</f>
        <v>2.7000000000000003E-2</v>
      </c>
      <c r="K724" s="2" t="s">
        <v>51</v>
      </c>
      <c r="L724" s="2">
        <v>385</v>
      </c>
      <c r="M724" s="2" t="s">
        <v>23</v>
      </c>
      <c r="N724" s="2" t="s">
        <v>24</v>
      </c>
      <c r="O724" s="4">
        <v>304678</v>
      </c>
      <c r="P724" s="4">
        <v>4862</v>
      </c>
      <c r="Q724" s="4">
        <v>103590</v>
      </c>
      <c r="R724" s="4">
        <v>408268</v>
      </c>
      <c r="S724" s="5">
        <v>0.4</v>
      </c>
      <c r="T724" s="4">
        <v>163307</v>
      </c>
      <c r="U724" s="4">
        <v>571576</v>
      </c>
      <c r="V724" s="6">
        <f t="shared" si="22"/>
        <v>15432.552000000001</v>
      </c>
      <c r="W724" s="6">
        <f t="shared" si="23"/>
        <v>556143.44799999997</v>
      </c>
    </row>
    <row r="725" spans="1:23" x14ac:dyDescent="0.3">
      <c r="A725" s="2" t="s">
        <v>21</v>
      </c>
      <c r="B725" s="2">
        <v>2.06</v>
      </c>
      <c r="C725" s="2">
        <v>2000074123</v>
      </c>
      <c r="D725" s="2">
        <v>54.4</v>
      </c>
      <c r="E725" s="2"/>
      <c r="F725" s="2">
        <v>300</v>
      </c>
      <c r="G725" s="2">
        <v>825</v>
      </c>
      <c r="H725" s="2">
        <v>4</v>
      </c>
      <c r="I725" s="2">
        <v>3</v>
      </c>
      <c r="J725" s="3">
        <f>IF(A725="Upgrade",IF(OR(H725=4,H725=5),VLOOKUP(I725,'Renewal Rates'!$A$22:$B$27,2,FALSE),2.7%),IF(A725="Renewal",100%,0%))</f>
        <v>0.21</v>
      </c>
      <c r="K725" s="2" t="s">
        <v>51</v>
      </c>
      <c r="L725" s="2">
        <v>385</v>
      </c>
      <c r="M725" s="2" t="s">
        <v>23</v>
      </c>
      <c r="N725" s="2" t="s">
        <v>24</v>
      </c>
      <c r="O725" s="4">
        <v>272588</v>
      </c>
      <c r="P725" s="4">
        <v>5014</v>
      </c>
      <c r="Q725" s="4">
        <v>92680</v>
      </c>
      <c r="R725" s="4">
        <v>365268</v>
      </c>
      <c r="S725" s="5">
        <v>0.4</v>
      </c>
      <c r="T725" s="4">
        <v>146107</v>
      </c>
      <c r="U725" s="4">
        <v>511376</v>
      </c>
      <c r="V725" s="6">
        <f t="shared" si="22"/>
        <v>107388.95999999999</v>
      </c>
      <c r="W725" s="6">
        <f t="shared" si="23"/>
        <v>403987.04000000004</v>
      </c>
    </row>
    <row r="726" spans="1:23" x14ac:dyDescent="0.3">
      <c r="A726" s="2" t="s">
        <v>21</v>
      </c>
      <c r="B726" s="2">
        <v>2.0590000000000002</v>
      </c>
      <c r="C726" s="2">
        <v>2000261028</v>
      </c>
      <c r="D726" s="2">
        <v>85.3</v>
      </c>
      <c r="E726" s="2"/>
      <c r="F726" s="2">
        <v>300</v>
      </c>
      <c r="G726" s="2">
        <v>750</v>
      </c>
      <c r="H726" s="2"/>
      <c r="I726" s="2"/>
      <c r="J726" s="3">
        <f>IF(A726="Upgrade",IF(OR(H726=4,H726=5),VLOOKUP(I726,'Renewal Rates'!$A$22:$B$27,2,FALSE),2.7%),IF(A726="Renewal",100%,0%))</f>
        <v>2.7000000000000003E-2</v>
      </c>
      <c r="K726" s="2" t="s">
        <v>51</v>
      </c>
      <c r="L726" s="2">
        <v>385</v>
      </c>
      <c r="M726" s="2" t="s">
        <v>23</v>
      </c>
      <c r="N726" s="2" t="s">
        <v>24</v>
      </c>
      <c r="O726" s="4">
        <v>345538</v>
      </c>
      <c r="P726" s="4">
        <v>4050</v>
      </c>
      <c r="Q726" s="4">
        <v>117483</v>
      </c>
      <c r="R726" s="4">
        <v>463020</v>
      </c>
      <c r="S726" s="5">
        <v>0.4</v>
      </c>
      <c r="T726" s="4">
        <v>185208</v>
      </c>
      <c r="U726" s="4">
        <v>648228</v>
      </c>
      <c r="V726" s="6">
        <f t="shared" si="22"/>
        <v>17502.156000000003</v>
      </c>
      <c r="W726" s="6">
        <f t="shared" si="23"/>
        <v>630725.84400000004</v>
      </c>
    </row>
    <row r="727" spans="1:23" x14ac:dyDescent="0.3">
      <c r="A727" s="2" t="s">
        <v>21</v>
      </c>
      <c r="B727" s="2">
        <v>2.0579999999999998</v>
      </c>
      <c r="C727" s="2">
        <v>2000297254</v>
      </c>
      <c r="D727" s="2">
        <v>18.399999999999999</v>
      </c>
      <c r="E727" s="2"/>
      <c r="F727" s="2">
        <v>300</v>
      </c>
      <c r="G727" s="2">
        <v>600</v>
      </c>
      <c r="H727" s="2"/>
      <c r="I727" s="2"/>
      <c r="J727" s="3">
        <f>IF(A727="Upgrade",IF(OR(H727=4,H727=5),VLOOKUP(I727,'Renewal Rates'!$A$22:$B$27,2,FALSE),2.7%),IF(A727="Renewal",100%,0%))</f>
        <v>2.7000000000000003E-2</v>
      </c>
      <c r="K727" s="2" t="s">
        <v>51</v>
      </c>
      <c r="L727" s="2">
        <v>385</v>
      </c>
      <c r="M727" s="2" t="s">
        <v>23</v>
      </c>
      <c r="N727" s="2" t="s">
        <v>24</v>
      </c>
      <c r="O727" s="4">
        <v>81953</v>
      </c>
      <c r="P727" s="4">
        <v>4448</v>
      </c>
      <c r="Q727" s="4">
        <v>27864</v>
      </c>
      <c r="R727" s="4">
        <v>109817</v>
      </c>
      <c r="S727" s="5">
        <v>0.4</v>
      </c>
      <c r="T727" s="4">
        <v>43927</v>
      </c>
      <c r="U727" s="4">
        <v>153743</v>
      </c>
      <c r="V727" s="6">
        <f t="shared" si="22"/>
        <v>4151.0610000000006</v>
      </c>
      <c r="W727" s="6">
        <f t="shared" si="23"/>
        <v>149591.93900000001</v>
      </c>
    </row>
    <row r="728" spans="1:23" x14ac:dyDescent="0.3">
      <c r="A728" s="2" t="s">
        <v>21</v>
      </c>
      <c r="B728" s="2">
        <v>2.0579999999999998</v>
      </c>
      <c r="C728" s="2">
        <v>2000030487</v>
      </c>
      <c r="D728" s="2">
        <v>61.5</v>
      </c>
      <c r="E728" s="2"/>
      <c r="F728" s="2">
        <v>300</v>
      </c>
      <c r="G728" s="2">
        <v>600</v>
      </c>
      <c r="H728" s="2"/>
      <c r="I728" s="2"/>
      <c r="J728" s="3">
        <f>IF(A728="Upgrade",IF(OR(H728=4,H728=5),VLOOKUP(I728,'Renewal Rates'!$A$22:$B$27,2,FALSE),2.7%),IF(A728="Renewal",100%,0%))</f>
        <v>2.7000000000000003E-2</v>
      </c>
      <c r="K728" s="2" t="s">
        <v>51</v>
      </c>
      <c r="L728" s="2">
        <v>385</v>
      </c>
      <c r="M728" s="2" t="s">
        <v>23</v>
      </c>
      <c r="N728" s="2" t="s">
        <v>24</v>
      </c>
      <c r="O728" s="4">
        <v>222618</v>
      </c>
      <c r="P728" s="4">
        <v>3622</v>
      </c>
      <c r="Q728" s="4">
        <v>75690</v>
      </c>
      <c r="R728" s="4">
        <v>298309</v>
      </c>
      <c r="S728" s="5">
        <v>0.4</v>
      </c>
      <c r="T728" s="4">
        <v>119323</v>
      </c>
      <c r="U728" s="4">
        <v>417632</v>
      </c>
      <c r="V728" s="6">
        <f t="shared" si="22"/>
        <v>11276.064000000002</v>
      </c>
      <c r="W728" s="6">
        <f t="shared" si="23"/>
        <v>406355.93599999999</v>
      </c>
    </row>
    <row r="729" spans="1:23" x14ac:dyDescent="0.3">
      <c r="A729" s="2" t="s">
        <v>25</v>
      </c>
      <c r="B729" s="2">
        <v>2.0489999999999999</v>
      </c>
      <c r="C729" s="2"/>
      <c r="D729" s="2"/>
      <c r="E729" s="2">
        <v>112.9</v>
      </c>
      <c r="F729" s="2"/>
      <c r="G729" s="2">
        <v>525</v>
      </c>
      <c r="H729" s="2"/>
      <c r="I729" s="2"/>
      <c r="J729" s="3">
        <f>IF(A729="Upgrade",IF(OR(H729=4,H729=5),VLOOKUP(I729,'Renewal Rates'!$A$22:$B$27,2,FALSE),2.7%),IF(A729="Renewal",100%,0%))</f>
        <v>0</v>
      </c>
      <c r="K729" s="2" t="s">
        <v>51</v>
      </c>
      <c r="L729" s="2">
        <v>385</v>
      </c>
      <c r="M729" s="2" t="s">
        <v>23</v>
      </c>
      <c r="N729" s="2" t="s">
        <v>24</v>
      </c>
      <c r="O729" s="4">
        <v>335713</v>
      </c>
      <c r="P729" s="4">
        <v>2974</v>
      </c>
      <c r="Q729" s="4">
        <v>114143</v>
      </c>
      <c r="R729" s="4">
        <v>449856</v>
      </c>
      <c r="S729" s="5">
        <v>0.4</v>
      </c>
      <c r="T729" s="4">
        <v>179942</v>
      </c>
      <c r="U729" s="4">
        <v>629799</v>
      </c>
      <c r="V729" s="6">
        <f t="shared" si="22"/>
        <v>0</v>
      </c>
      <c r="W729" s="6">
        <f t="shared" si="23"/>
        <v>629799</v>
      </c>
    </row>
    <row r="730" spans="1:23" x14ac:dyDescent="0.3">
      <c r="A730" s="2" t="s">
        <v>21</v>
      </c>
      <c r="B730" s="2">
        <v>2.0129999999999999</v>
      </c>
      <c r="C730" s="2">
        <v>2000219616</v>
      </c>
      <c r="D730" s="2">
        <v>5.0999999999999996</v>
      </c>
      <c r="E730" s="2"/>
      <c r="F730" s="2">
        <v>225</v>
      </c>
      <c r="G730" s="2">
        <v>750</v>
      </c>
      <c r="H730" s="2"/>
      <c r="I730" s="2"/>
      <c r="J730" s="3">
        <f>IF(A730="Upgrade",IF(OR(H730=4,H730=5),VLOOKUP(I730,'Renewal Rates'!$A$22:$B$27,2,FALSE),2.7%),IF(A730="Renewal",100%,0%))</f>
        <v>2.7000000000000003E-2</v>
      </c>
      <c r="K730" s="2" t="s">
        <v>22</v>
      </c>
      <c r="L730" s="2">
        <v>385</v>
      </c>
      <c r="M730" s="2" t="s">
        <v>23</v>
      </c>
      <c r="N730" s="2" t="s">
        <v>24</v>
      </c>
      <c r="O730" s="4">
        <v>79825</v>
      </c>
      <c r="P730" s="4">
        <v>15781</v>
      </c>
      <c r="Q730" s="4">
        <v>27140</v>
      </c>
      <c r="R730" s="4">
        <v>106965</v>
      </c>
      <c r="S730" s="5">
        <v>0.4</v>
      </c>
      <c r="T730" s="4">
        <v>42786</v>
      </c>
      <c r="U730" s="4">
        <v>149751</v>
      </c>
      <c r="V730" s="6">
        <f t="shared" si="22"/>
        <v>4043.2770000000005</v>
      </c>
      <c r="W730" s="6">
        <f t="shared" si="23"/>
        <v>145707.723</v>
      </c>
    </row>
    <row r="731" spans="1:23" x14ac:dyDescent="0.3">
      <c r="A731" s="2" t="s">
        <v>21</v>
      </c>
      <c r="B731" s="2">
        <v>2.0129999999999999</v>
      </c>
      <c r="C731" s="2">
        <v>3000184635</v>
      </c>
      <c r="D731" s="2">
        <v>8</v>
      </c>
      <c r="E731" s="2"/>
      <c r="F731" s="2">
        <v>225</v>
      </c>
      <c r="G731" s="2">
        <v>750</v>
      </c>
      <c r="H731" s="2"/>
      <c r="I731" s="2"/>
      <c r="J731" s="3">
        <f>IF(A731="Upgrade",IF(OR(H731=4,H731=5),VLOOKUP(I731,'Renewal Rates'!$A$22:$B$27,2,FALSE),2.7%),IF(A731="Renewal",100%,0%))</f>
        <v>2.7000000000000003E-2</v>
      </c>
      <c r="K731" s="2" t="s">
        <v>22</v>
      </c>
      <c r="L731" s="2">
        <v>385</v>
      </c>
      <c r="M731" s="2" t="s">
        <v>23</v>
      </c>
      <c r="N731" s="2" t="s">
        <v>24</v>
      </c>
      <c r="O731" s="4">
        <v>60440</v>
      </c>
      <c r="P731" s="4">
        <v>7544</v>
      </c>
      <c r="Q731" s="4">
        <v>20550</v>
      </c>
      <c r="R731" s="4">
        <v>80990</v>
      </c>
      <c r="S731" s="5">
        <v>0.4</v>
      </c>
      <c r="T731" s="4">
        <v>32396</v>
      </c>
      <c r="U731" s="4">
        <v>113386</v>
      </c>
      <c r="V731" s="6">
        <f t="shared" si="22"/>
        <v>3061.4220000000005</v>
      </c>
      <c r="W731" s="6">
        <f t="shared" si="23"/>
        <v>110324.57799999999</v>
      </c>
    </row>
    <row r="732" spans="1:23" x14ac:dyDescent="0.3">
      <c r="A732" s="2" t="s">
        <v>21</v>
      </c>
      <c r="B732" s="2">
        <v>2.0129999999999999</v>
      </c>
      <c r="C732" s="2">
        <v>3000184637</v>
      </c>
      <c r="D732" s="2">
        <v>2.2999999999999998</v>
      </c>
      <c r="E732" s="2"/>
      <c r="F732" s="2">
        <v>225</v>
      </c>
      <c r="G732" s="2">
        <v>750</v>
      </c>
      <c r="H732" s="2"/>
      <c r="I732" s="2"/>
      <c r="J732" s="3">
        <f>IF(A732="Upgrade",IF(OR(H732=4,H732=5),VLOOKUP(I732,'Renewal Rates'!$A$22:$B$27,2,FALSE),2.7%),IF(A732="Renewal",100%,0%))</f>
        <v>2.7000000000000003E-2</v>
      </c>
      <c r="K732" s="2" t="s">
        <v>22</v>
      </c>
      <c r="L732" s="2">
        <v>385</v>
      </c>
      <c r="M732" s="2" t="s">
        <v>23</v>
      </c>
      <c r="N732" s="2" t="s">
        <v>24</v>
      </c>
      <c r="O732" s="4">
        <v>29226</v>
      </c>
      <c r="P732" s="4">
        <v>12906</v>
      </c>
      <c r="Q732" s="4">
        <v>9937</v>
      </c>
      <c r="R732" s="4">
        <v>39163</v>
      </c>
      <c r="S732" s="5">
        <v>0.4</v>
      </c>
      <c r="T732" s="4">
        <v>15665</v>
      </c>
      <c r="U732" s="4">
        <v>54828</v>
      </c>
      <c r="V732" s="6">
        <f t="shared" si="22"/>
        <v>1480.3560000000002</v>
      </c>
      <c r="W732" s="6">
        <f t="shared" si="23"/>
        <v>53347.644</v>
      </c>
    </row>
    <row r="733" spans="1:23" x14ac:dyDescent="0.3">
      <c r="A733" s="2" t="s">
        <v>21</v>
      </c>
      <c r="B733" s="2">
        <v>2.0129999999999999</v>
      </c>
      <c r="C733" s="2">
        <v>2000567397</v>
      </c>
      <c r="D733" s="2">
        <v>58.1</v>
      </c>
      <c r="E733" s="2"/>
      <c r="F733" s="2">
        <v>225</v>
      </c>
      <c r="G733" s="2">
        <v>750</v>
      </c>
      <c r="H733" s="2"/>
      <c r="I733" s="2"/>
      <c r="J733" s="3">
        <f>IF(A733="Upgrade",IF(OR(H733=4,H733=5),VLOOKUP(I733,'Renewal Rates'!$A$22:$B$27,2,FALSE),2.7%),IF(A733="Renewal",100%,0%))</f>
        <v>2.7000000000000003E-2</v>
      </c>
      <c r="K733" s="2" t="s">
        <v>22</v>
      </c>
      <c r="L733" s="2">
        <v>385</v>
      </c>
      <c r="M733" s="2" t="s">
        <v>23</v>
      </c>
      <c r="N733" s="2" t="s">
        <v>24</v>
      </c>
      <c r="O733" s="4">
        <v>269630</v>
      </c>
      <c r="P733" s="4">
        <v>4643</v>
      </c>
      <c r="Q733" s="4">
        <v>91674</v>
      </c>
      <c r="R733" s="4">
        <v>361304</v>
      </c>
      <c r="S733" s="5">
        <v>0.4</v>
      </c>
      <c r="T733" s="4">
        <v>144522</v>
      </c>
      <c r="U733" s="4">
        <v>505826</v>
      </c>
      <c r="V733" s="6">
        <f t="shared" si="22"/>
        <v>13657.302000000001</v>
      </c>
      <c r="W733" s="6">
        <f t="shared" si="23"/>
        <v>492168.69799999997</v>
      </c>
    </row>
    <row r="734" spans="1:23" x14ac:dyDescent="0.3">
      <c r="A734" s="2" t="s">
        <v>21</v>
      </c>
      <c r="B734" s="2">
        <v>2.0129999999999999</v>
      </c>
      <c r="C734" s="2">
        <v>2000220933</v>
      </c>
      <c r="D734" s="2">
        <v>63.1</v>
      </c>
      <c r="E734" s="2"/>
      <c r="F734" s="2">
        <v>225</v>
      </c>
      <c r="G734" s="2">
        <v>750</v>
      </c>
      <c r="H734" s="2"/>
      <c r="I734" s="2"/>
      <c r="J734" s="3">
        <f>IF(A734="Upgrade",IF(OR(H734=4,H734=5),VLOOKUP(I734,'Renewal Rates'!$A$22:$B$27,2,FALSE),2.7%),IF(A734="Renewal",100%,0%))</f>
        <v>2.7000000000000003E-2</v>
      </c>
      <c r="K734" s="2" t="s">
        <v>22</v>
      </c>
      <c r="L734" s="2">
        <v>385</v>
      </c>
      <c r="M734" s="2" t="s">
        <v>23</v>
      </c>
      <c r="N734" s="2" t="s">
        <v>24</v>
      </c>
      <c r="O734" s="4">
        <v>276411</v>
      </c>
      <c r="P734" s="4">
        <v>4383</v>
      </c>
      <c r="Q734" s="4">
        <v>93980</v>
      </c>
      <c r="R734" s="4">
        <v>370390</v>
      </c>
      <c r="S734" s="5">
        <v>0.4</v>
      </c>
      <c r="T734" s="4">
        <v>148156</v>
      </c>
      <c r="U734" s="4">
        <v>518546</v>
      </c>
      <c r="V734" s="6">
        <f t="shared" si="22"/>
        <v>14000.742000000002</v>
      </c>
      <c r="W734" s="6">
        <f t="shared" si="23"/>
        <v>504545.25799999997</v>
      </c>
    </row>
    <row r="735" spans="1:23" x14ac:dyDescent="0.3">
      <c r="A735" s="2" t="s">
        <v>21</v>
      </c>
      <c r="B735" s="2">
        <v>2.0129999999999999</v>
      </c>
      <c r="C735" s="2">
        <v>3000149484</v>
      </c>
      <c r="D735" s="2">
        <v>41.1</v>
      </c>
      <c r="E735" s="2"/>
      <c r="F735" s="2">
        <v>225</v>
      </c>
      <c r="G735" s="2">
        <v>750</v>
      </c>
      <c r="H735" s="2"/>
      <c r="I735" s="2"/>
      <c r="J735" s="3">
        <f>IF(A735="Upgrade",IF(OR(H735=4,H735=5),VLOOKUP(I735,'Renewal Rates'!$A$22:$B$27,2,FALSE),2.7%),IF(A735="Renewal",100%,0%))</f>
        <v>2.7000000000000003E-2</v>
      </c>
      <c r="K735" s="2" t="s">
        <v>22</v>
      </c>
      <c r="L735" s="2">
        <v>385</v>
      </c>
      <c r="M735" s="2" t="s">
        <v>23</v>
      </c>
      <c r="N735" s="2" t="s">
        <v>24</v>
      </c>
      <c r="O735" s="4">
        <v>183151</v>
      </c>
      <c r="P735" s="4">
        <v>4459</v>
      </c>
      <c r="Q735" s="4">
        <v>62271</v>
      </c>
      <c r="R735" s="4">
        <v>245422</v>
      </c>
      <c r="S735" s="5">
        <v>0.4</v>
      </c>
      <c r="T735" s="4">
        <v>98169</v>
      </c>
      <c r="U735" s="4">
        <v>343590</v>
      </c>
      <c r="V735" s="6">
        <f t="shared" si="22"/>
        <v>9276.93</v>
      </c>
      <c r="W735" s="6">
        <f t="shared" si="23"/>
        <v>334313.07</v>
      </c>
    </row>
    <row r="736" spans="1:23" x14ac:dyDescent="0.3">
      <c r="A736" s="2" t="s">
        <v>21</v>
      </c>
      <c r="B736" s="2">
        <v>2.0129999999999999</v>
      </c>
      <c r="C736" s="2">
        <v>2000386034</v>
      </c>
      <c r="D736" s="2">
        <v>49.3</v>
      </c>
      <c r="E736" s="2"/>
      <c r="F736" s="2">
        <v>225</v>
      </c>
      <c r="G736" s="2">
        <v>750</v>
      </c>
      <c r="H736" s="2"/>
      <c r="I736" s="2"/>
      <c r="J736" s="3">
        <f>IF(A736="Upgrade",IF(OR(H736=4,H736=5),VLOOKUP(I736,'Renewal Rates'!$A$22:$B$27,2,FALSE),2.7%),IF(A736="Renewal",100%,0%))</f>
        <v>2.7000000000000003E-2</v>
      </c>
      <c r="K736" s="2" t="s">
        <v>22</v>
      </c>
      <c r="L736" s="2">
        <v>385</v>
      </c>
      <c r="M736" s="2" t="s">
        <v>23</v>
      </c>
      <c r="N736" s="2" t="s">
        <v>24</v>
      </c>
      <c r="O736" s="4">
        <v>213741</v>
      </c>
      <c r="P736" s="4">
        <v>4337</v>
      </c>
      <c r="Q736" s="4">
        <v>72672</v>
      </c>
      <c r="R736" s="4">
        <v>286413</v>
      </c>
      <c r="S736" s="5">
        <v>0.4</v>
      </c>
      <c r="T736" s="4">
        <v>114565</v>
      </c>
      <c r="U736" s="4">
        <v>400978</v>
      </c>
      <c r="V736" s="6">
        <f t="shared" si="22"/>
        <v>10826.406000000001</v>
      </c>
      <c r="W736" s="6">
        <f t="shared" si="23"/>
        <v>390151.59399999998</v>
      </c>
    </row>
    <row r="737" spans="1:23" x14ac:dyDescent="0.3">
      <c r="A737" s="2" t="s">
        <v>21</v>
      </c>
      <c r="B737" s="2">
        <v>2.0129999999999999</v>
      </c>
      <c r="C737" s="2">
        <v>2000292132</v>
      </c>
      <c r="D737" s="2">
        <v>71.3</v>
      </c>
      <c r="E737" s="2"/>
      <c r="F737" s="2">
        <v>150</v>
      </c>
      <c r="G737" s="2">
        <v>750</v>
      </c>
      <c r="H737" s="2"/>
      <c r="I737" s="2"/>
      <c r="J737" s="3">
        <f>IF(A737="Upgrade",IF(OR(H737=4,H737=5),VLOOKUP(I737,'Renewal Rates'!$A$22:$B$27,2,FALSE),2.7%),IF(A737="Renewal",100%,0%))</f>
        <v>2.7000000000000003E-2</v>
      </c>
      <c r="K737" s="2" t="s">
        <v>22</v>
      </c>
      <c r="L737" s="2">
        <v>385</v>
      </c>
      <c r="M737" s="2" t="s">
        <v>23</v>
      </c>
      <c r="N737" s="2" t="s">
        <v>24</v>
      </c>
      <c r="O737" s="4">
        <v>307070</v>
      </c>
      <c r="P737" s="4">
        <v>4306</v>
      </c>
      <c r="Q737" s="4">
        <v>104404</v>
      </c>
      <c r="R737" s="4">
        <v>411473</v>
      </c>
      <c r="S737" s="5">
        <v>0.4</v>
      </c>
      <c r="T737" s="4">
        <v>164589</v>
      </c>
      <c r="U737" s="4">
        <v>576063</v>
      </c>
      <c r="V737" s="6">
        <f t="shared" si="22"/>
        <v>15553.701000000001</v>
      </c>
      <c r="W737" s="6">
        <f t="shared" si="23"/>
        <v>560509.299</v>
      </c>
    </row>
    <row r="738" spans="1:23" x14ac:dyDescent="0.3">
      <c r="A738" s="2" t="s">
        <v>21</v>
      </c>
      <c r="B738" s="2">
        <v>2.0129999999999999</v>
      </c>
      <c r="C738" s="2">
        <v>2000071755</v>
      </c>
      <c r="D738" s="2">
        <v>12.8</v>
      </c>
      <c r="E738" s="2">
        <v>0</v>
      </c>
      <c r="F738" s="2">
        <v>225</v>
      </c>
      <c r="G738" s="2">
        <v>750</v>
      </c>
      <c r="H738" s="2"/>
      <c r="I738" s="2"/>
      <c r="J738" s="3">
        <f>IF(A738="Upgrade",IF(OR(H738=4,H738=5),VLOOKUP(I738,'Renewal Rates'!$A$22:$B$27,2,FALSE),2.7%),IF(A738="Renewal",100%,0%))</f>
        <v>2.7000000000000003E-2</v>
      </c>
      <c r="K738" s="2" t="s">
        <v>22</v>
      </c>
      <c r="L738" s="2">
        <v>385</v>
      </c>
      <c r="M738" s="2" t="s">
        <v>23</v>
      </c>
      <c r="N738" s="2" t="s">
        <v>24</v>
      </c>
      <c r="O738" s="4">
        <v>86361</v>
      </c>
      <c r="P738" s="4">
        <v>6758</v>
      </c>
      <c r="Q738" s="4">
        <v>29363</v>
      </c>
      <c r="R738" s="4">
        <v>115724</v>
      </c>
      <c r="S738" s="5">
        <v>0.4</v>
      </c>
      <c r="T738" s="4">
        <v>46290</v>
      </c>
      <c r="U738" s="4">
        <v>162014</v>
      </c>
      <c r="V738" s="6">
        <f t="shared" si="22"/>
        <v>4374.3780000000006</v>
      </c>
      <c r="W738" s="6">
        <f t="shared" si="23"/>
        <v>157639.622</v>
      </c>
    </row>
    <row r="739" spans="1:23" x14ac:dyDescent="0.3">
      <c r="A739" s="2" t="s">
        <v>25</v>
      </c>
      <c r="B739" s="2">
        <v>2.0470000000000002</v>
      </c>
      <c r="C739" s="2"/>
      <c r="D739" s="2"/>
      <c r="E739" s="2">
        <v>65.5</v>
      </c>
      <c r="F739" s="2"/>
      <c r="G739" s="2">
        <v>525</v>
      </c>
      <c r="H739" s="2"/>
      <c r="I739" s="2"/>
      <c r="J739" s="3">
        <f>IF(A739="Upgrade",IF(OR(H739=4,H739=5),VLOOKUP(I739,'Renewal Rates'!$A$22:$B$27,2,FALSE),2.7%),IF(A739="Renewal",100%,0%))</f>
        <v>0</v>
      </c>
      <c r="K739" s="2" t="s">
        <v>22</v>
      </c>
      <c r="L739" s="2">
        <v>385</v>
      </c>
      <c r="M739" s="2" t="s">
        <v>23</v>
      </c>
      <c r="N739" s="2" t="s">
        <v>24</v>
      </c>
      <c r="O739" s="4">
        <v>217185</v>
      </c>
      <c r="P739" s="4">
        <v>3315</v>
      </c>
      <c r="Q739" s="4">
        <v>73843</v>
      </c>
      <c r="R739" s="4">
        <v>291028</v>
      </c>
      <c r="S739" s="5">
        <v>0.4</v>
      </c>
      <c r="T739" s="4">
        <v>116411</v>
      </c>
      <c r="U739" s="4">
        <v>407439</v>
      </c>
      <c r="V739" s="6">
        <f t="shared" si="22"/>
        <v>0</v>
      </c>
      <c r="W739" s="6">
        <f t="shared" si="23"/>
        <v>407439</v>
      </c>
    </row>
    <row r="740" spans="1:23" x14ac:dyDescent="0.3">
      <c r="A740" s="2" t="s">
        <v>25</v>
      </c>
      <c r="B740" s="2">
        <v>2.0139999999999998</v>
      </c>
      <c r="C740" s="2"/>
      <c r="D740" s="2"/>
      <c r="E740" s="2">
        <v>171.1</v>
      </c>
      <c r="F740" s="2"/>
      <c r="G740" s="2">
        <v>675</v>
      </c>
      <c r="H740" s="2"/>
      <c r="I740" s="2"/>
      <c r="J740" s="3">
        <f>IF(A740="Upgrade",IF(OR(H740=4,H740=5),VLOOKUP(I740,'Renewal Rates'!$A$22:$B$27,2,FALSE),2.7%),IF(A740="Renewal",100%,0%))</f>
        <v>0</v>
      </c>
      <c r="K740" s="2" t="s">
        <v>51</v>
      </c>
      <c r="L740" s="2">
        <v>385</v>
      </c>
      <c r="M740" s="2" t="s">
        <v>23</v>
      </c>
      <c r="N740" s="2" t="s">
        <v>24</v>
      </c>
      <c r="O740" s="4">
        <v>540245</v>
      </c>
      <c r="P740" s="4">
        <v>3158</v>
      </c>
      <c r="Q740" s="4">
        <v>183683</v>
      </c>
      <c r="R740" s="4">
        <v>723928</v>
      </c>
      <c r="S740" s="5">
        <v>0.4</v>
      </c>
      <c r="T740" s="4">
        <v>289571</v>
      </c>
      <c r="U740" s="4">
        <v>1013499</v>
      </c>
      <c r="V740" s="6">
        <f t="shared" si="22"/>
        <v>0</v>
      </c>
      <c r="W740" s="6">
        <f t="shared" si="23"/>
        <v>1013499</v>
      </c>
    </row>
    <row r="741" spans="1:23" x14ac:dyDescent="0.3">
      <c r="A741" s="2" t="s">
        <v>25</v>
      </c>
      <c r="B741" s="2">
        <v>2.0379999999999998</v>
      </c>
      <c r="C741" s="2"/>
      <c r="D741" s="2"/>
      <c r="E741" s="2">
        <v>96</v>
      </c>
      <c r="F741" s="2"/>
      <c r="G741" s="2">
        <v>600</v>
      </c>
      <c r="H741" s="2"/>
      <c r="I741" s="2"/>
      <c r="J741" s="3">
        <f>IF(A741="Upgrade",IF(OR(H741=4,H741=5),VLOOKUP(I741,'Renewal Rates'!$A$22:$B$27,2,FALSE),2.7%),IF(A741="Renewal",100%,0%))</f>
        <v>0</v>
      </c>
      <c r="K741" s="2" t="s">
        <v>51</v>
      </c>
      <c r="L741" s="2">
        <v>385</v>
      </c>
      <c r="M741" s="2" t="s">
        <v>23</v>
      </c>
      <c r="N741" s="2" t="s">
        <v>24</v>
      </c>
      <c r="O741" s="4">
        <v>316658</v>
      </c>
      <c r="P741" s="4">
        <v>3298</v>
      </c>
      <c r="Q741" s="4">
        <v>107664</v>
      </c>
      <c r="R741" s="4">
        <v>424321</v>
      </c>
      <c r="S741" s="5">
        <v>0.4</v>
      </c>
      <c r="T741" s="4">
        <v>169729</v>
      </c>
      <c r="U741" s="4">
        <v>594050</v>
      </c>
      <c r="V741" s="6">
        <f t="shared" si="22"/>
        <v>0</v>
      </c>
      <c r="W741" s="6">
        <f t="shared" si="23"/>
        <v>594050</v>
      </c>
    </row>
    <row r="742" spans="1:23" x14ac:dyDescent="0.3">
      <c r="A742" s="2" t="s">
        <v>21</v>
      </c>
      <c r="B742" s="2">
        <v>2.0299999999999998</v>
      </c>
      <c r="C742" s="2">
        <v>2000767931</v>
      </c>
      <c r="D742" s="2">
        <v>20.100000000000001</v>
      </c>
      <c r="E742" s="2"/>
      <c r="F742" s="2">
        <v>450</v>
      </c>
      <c r="G742" s="2">
        <v>900</v>
      </c>
      <c r="H742" s="2"/>
      <c r="I742" s="2"/>
      <c r="J742" s="3">
        <f>IF(A742="Upgrade",IF(OR(H742=4,H742=5),VLOOKUP(I742,'Renewal Rates'!$A$22:$B$27,2,FALSE),2.7%),IF(A742="Renewal",100%,0%))</f>
        <v>2.7000000000000003E-2</v>
      </c>
      <c r="K742" s="7" t="s">
        <v>50</v>
      </c>
      <c r="L742" s="2">
        <v>385</v>
      </c>
      <c r="M742" s="2" t="s">
        <v>23</v>
      </c>
      <c r="N742" s="2" t="s">
        <v>24</v>
      </c>
      <c r="O742" s="4">
        <v>136706</v>
      </c>
      <c r="P742" s="4">
        <v>6801</v>
      </c>
      <c r="Q742" s="4">
        <v>52560</v>
      </c>
      <c r="R742" s="4">
        <v>207150</v>
      </c>
      <c r="S742" s="5">
        <v>0.4</v>
      </c>
      <c r="T742" s="4">
        <v>82860</v>
      </c>
      <c r="U742" s="4">
        <v>290009</v>
      </c>
      <c r="V742" s="6">
        <f t="shared" si="22"/>
        <v>7830.2430000000013</v>
      </c>
      <c r="W742" s="6">
        <f t="shared" si="23"/>
        <v>282178.75699999998</v>
      </c>
    </row>
    <row r="743" spans="1:23" x14ac:dyDescent="0.3">
      <c r="A743" s="2" t="s">
        <v>21</v>
      </c>
      <c r="B743" s="2">
        <v>2.0299999999999998</v>
      </c>
      <c r="C743" s="2">
        <v>2000654520</v>
      </c>
      <c r="D743" s="2">
        <v>33.9</v>
      </c>
      <c r="E743" s="2"/>
      <c r="F743" s="2">
        <v>450</v>
      </c>
      <c r="G743" s="2">
        <v>900</v>
      </c>
      <c r="H743" s="2">
        <v>5</v>
      </c>
      <c r="I743" s="2">
        <v>4</v>
      </c>
      <c r="J743" s="3">
        <f>IF(A743="Upgrade",IF(OR(H743=4,H743=5),VLOOKUP(I743,'Renewal Rates'!$A$22:$B$27,2,FALSE),2.7%),IF(A743="Renewal",100%,0%))</f>
        <v>0.7</v>
      </c>
      <c r="K743" s="7" t="s">
        <v>50</v>
      </c>
      <c r="L743" s="2">
        <v>385</v>
      </c>
      <c r="M743" s="2" t="s">
        <v>23</v>
      </c>
      <c r="N743" s="2" t="s">
        <v>24</v>
      </c>
      <c r="O743" s="4">
        <v>149504</v>
      </c>
      <c r="P743" s="4">
        <v>4411</v>
      </c>
      <c r="Q743" s="4">
        <v>67955</v>
      </c>
      <c r="R743" s="4">
        <v>267822</v>
      </c>
      <c r="S743" s="5">
        <v>0.4</v>
      </c>
      <c r="T743" s="4">
        <v>107129</v>
      </c>
      <c r="U743" s="4">
        <v>374951</v>
      </c>
      <c r="V743" s="6">
        <f t="shared" si="22"/>
        <v>262465.7</v>
      </c>
      <c r="W743" s="6">
        <f t="shared" si="23"/>
        <v>112485.29999999999</v>
      </c>
    </row>
    <row r="744" spans="1:23" x14ac:dyDescent="0.3">
      <c r="A744" s="2" t="s">
        <v>21</v>
      </c>
      <c r="B744" s="2">
        <v>2.0299999999999998</v>
      </c>
      <c r="C744" s="2">
        <v>2000709520</v>
      </c>
      <c r="D744" s="2">
        <v>61.3</v>
      </c>
      <c r="E744" s="2"/>
      <c r="F744" s="2">
        <v>450</v>
      </c>
      <c r="G744" s="2">
        <v>900</v>
      </c>
      <c r="H744" s="2">
        <v>4</v>
      </c>
      <c r="I744" s="2">
        <v>2</v>
      </c>
      <c r="J744" s="3">
        <f>IF(A744="Upgrade",IF(OR(H744=4,H744=5),VLOOKUP(I744,'Renewal Rates'!$A$22:$B$27,2,FALSE),2.7%),IF(A744="Renewal",100%,0%))</f>
        <v>0</v>
      </c>
      <c r="K744" s="7" t="s">
        <v>50</v>
      </c>
      <c r="L744" s="2">
        <v>385</v>
      </c>
      <c r="M744" s="2" t="s">
        <v>23</v>
      </c>
      <c r="N744" s="2" t="s">
        <v>24</v>
      </c>
      <c r="O744" s="4">
        <v>266100</v>
      </c>
      <c r="P744" s="4">
        <v>4339</v>
      </c>
      <c r="Q744" s="4">
        <v>114861</v>
      </c>
      <c r="R744" s="4">
        <v>452686</v>
      </c>
      <c r="S744" s="5">
        <v>0.4</v>
      </c>
      <c r="T744" s="4">
        <v>181074</v>
      </c>
      <c r="U744" s="4">
        <v>633760</v>
      </c>
      <c r="V744" s="6">
        <f t="shared" si="22"/>
        <v>0</v>
      </c>
      <c r="W744" s="6">
        <f t="shared" si="23"/>
        <v>633760</v>
      </c>
    </row>
    <row r="745" spans="1:23" x14ac:dyDescent="0.3">
      <c r="A745" s="2" t="s">
        <v>21</v>
      </c>
      <c r="B745" s="2">
        <v>2.0299999999999998</v>
      </c>
      <c r="C745" s="2">
        <v>2000681454</v>
      </c>
      <c r="D745" s="2">
        <v>7.8</v>
      </c>
      <c r="E745" s="2"/>
      <c r="F745" s="2">
        <v>450</v>
      </c>
      <c r="G745" s="2">
        <v>900</v>
      </c>
      <c r="H745" s="2"/>
      <c r="I745" s="2"/>
      <c r="J745" s="3">
        <f>IF(A745="Upgrade",IF(OR(H745=4,H745=5),VLOOKUP(I745,'Renewal Rates'!$A$22:$B$27,2,FALSE),2.7%),IF(A745="Renewal",100%,0%))</f>
        <v>2.7000000000000003E-2</v>
      </c>
      <c r="K745" s="7" t="s">
        <v>50</v>
      </c>
      <c r="L745" s="2">
        <v>385</v>
      </c>
      <c r="M745" s="2" t="s">
        <v>23</v>
      </c>
      <c r="N745" s="2" t="s">
        <v>24</v>
      </c>
      <c r="O745" s="4">
        <v>59522</v>
      </c>
      <c r="P745" s="4">
        <v>7604</v>
      </c>
      <c r="Q745" s="4">
        <v>22129</v>
      </c>
      <c r="R745" s="4">
        <v>87214</v>
      </c>
      <c r="S745" s="5">
        <v>0.4</v>
      </c>
      <c r="T745" s="4">
        <v>34886</v>
      </c>
      <c r="U745" s="4">
        <v>122099</v>
      </c>
      <c r="V745" s="6">
        <f t="shared" si="22"/>
        <v>3296.6730000000002</v>
      </c>
      <c r="W745" s="6">
        <f t="shared" si="23"/>
        <v>118802.327</v>
      </c>
    </row>
    <row r="746" spans="1:23" x14ac:dyDescent="0.3">
      <c r="A746" s="2" t="s">
        <v>21</v>
      </c>
      <c r="B746" s="2">
        <v>2.0299999999999998</v>
      </c>
      <c r="C746" s="2">
        <v>2000530041</v>
      </c>
      <c r="D746" s="2">
        <v>8.9</v>
      </c>
      <c r="E746" s="2"/>
      <c r="F746" s="2">
        <v>450</v>
      </c>
      <c r="G746" s="2">
        <v>900</v>
      </c>
      <c r="H746" s="2"/>
      <c r="I746" s="2"/>
      <c r="J746" s="3">
        <f>IF(A746="Upgrade",IF(OR(H746=4,H746=5),VLOOKUP(I746,'Renewal Rates'!$A$22:$B$27,2,FALSE),2.7%),IF(A746="Renewal",100%,0%))</f>
        <v>2.7000000000000003E-2</v>
      </c>
      <c r="K746" s="7" t="s">
        <v>50</v>
      </c>
      <c r="L746" s="2">
        <v>385</v>
      </c>
      <c r="M746" s="2" t="s">
        <v>23</v>
      </c>
      <c r="N746" s="2" t="s">
        <v>24</v>
      </c>
      <c r="O746" s="4">
        <v>60812</v>
      </c>
      <c r="P746" s="4">
        <v>6841</v>
      </c>
      <c r="Q746" s="4">
        <v>30452</v>
      </c>
      <c r="R746" s="4">
        <v>120017</v>
      </c>
      <c r="S746" s="5">
        <v>0.4</v>
      </c>
      <c r="T746" s="4">
        <v>48007</v>
      </c>
      <c r="U746" s="4">
        <v>168024</v>
      </c>
      <c r="V746" s="6">
        <f t="shared" si="22"/>
        <v>4536.6480000000001</v>
      </c>
      <c r="W746" s="6">
        <f t="shared" si="23"/>
        <v>163487.35200000001</v>
      </c>
    </row>
    <row r="747" spans="1:23" x14ac:dyDescent="0.3">
      <c r="A747" s="2" t="s">
        <v>21</v>
      </c>
      <c r="B747" s="2">
        <v>2.0299999999999998</v>
      </c>
      <c r="C747" s="2">
        <v>2000668842</v>
      </c>
      <c r="D747" s="2">
        <v>79.8</v>
      </c>
      <c r="E747" s="2"/>
      <c r="F747" s="2">
        <v>225</v>
      </c>
      <c r="G747" s="2">
        <v>900</v>
      </c>
      <c r="H747" s="2"/>
      <c r="I747" s="2"/>
      <c r="J747" s="3">
        <f>IF(A747="Upgrade",IF(OR(H747=4,H747=5),VLOOKUP(I747,'Renewal Rates'!$A$22:$B$27,2,FALSE),2.7%),IF(A747="Renewal",100%,0%))</f>
        <v>2.7000000000000003E-2</v>
      </c>
      <c r="K747" s="7" t="s">
        <v>50</v>
      </c>
      <c r="L747" s="2">
        <v>385</v>
      </c>
      <c r="M747" s="2" t="s">
        <v>23</v>
      </c>
      <c r="N747" s="2" t="s">
        <v>24</v>
      </c>
      <c r="O747" s="4">
        <v>327424</v>
      </c>
      <c r="P747" s="4">
        <v>4103</v>
      </c>
      <c r="Q747" s="4">
        <v>148614</v>
      </c>
      <c r="R747" s="4">
        <v>585713</v>
      </c>
      <c r="S747" s="5">
        <v>0.4</v>
      </c>
      <c r="T747" s="4">
        <v>234285</v>
      </c>
      <c r="U747" s="4">
        <v>819998</v>
      </c>
      <c r="V747" s="6">
        <f t="shared" si="22"/>
        <v>22139.946000000004</v>
      </c>
      <c r="W747" s="6">
        <f t="shared" si="23"/>
        <v>797858.054</v>
      </c>
    </row>
    <row r="748" spans="1:23" x14ac:dyDescent="0.3">
      <c r="A748" s="2" t="s">
        <v>21</v>
      </c>
      <c r="B748" s="2">
        <v>2.0409999999999999</v>
      </c>
      <c r="C748" s="2">
        <v>2000964455</v>
      </c>
      <c r="D748" s="2">
        <v>51.6</v>
      </c>
      <c r="E748" s="2"/>
      <c r="F748" s="2">
        <v>225</v>
      </c>
      <c r="G748" s="2">
        <v>750</v>
      </c>
      <c r="H748" s="2"/>
      <c r="I748" s="2"/>
      <c r="J748" s="3">
        <f>IF(A748="Upgrade",IF(OR(H748=4,H748=5),VLOOKUP(I748,'Renewal Rates'!$A$22:$B$27,2,FALSE),2.7%),IF(A748="Renewal",100%,0%))</f>
        <v>2.7000000000000003E-2</v>
      </c>
      <c r="K748" s="2" t="s">
        <v>22</v>
      </c>
      <c r="L748" s="2">
        <v>385</v>
      </c>
      <c r="M748" s="2" t="s">
        <v>23</v>
      </c>
      <c r="N748" s="2" t="s">
        <v>24</v>
      </c>
      <c r="O748" s="4">
        <v>241335</v>
      </c>
      <c r="P748" s="4">
        <v>4681</v>
      </c>
      <c r="Q748" s="4">
        <v>82054</v>
      </c>
      <c r="R748" s="4">
        <v>323389</v>
      </c>
      <c r="S748" s="5">
        <v>0.4</v>
      </c>
      <c r="T748" s="4">
        <v>129356</v>
      </c>
      <c r="U748" s="4">
        <v>452744</v>
      </c>
      <c r="V748" s="6">
        <f t="shared" si="22"/>
        <v>12224.088000000002</v>
      </c>
      <c r="W748" s="6">
        <f t="shared" si="23"/>
        <v>440519.91200000001</v>
      </c>
    </row>
    <row r="749" spans="1:23" x14ac:dyDescent="0.3">
      <c r="A749" s="2" t="s">
        <v>25</v>
      </c>
      <c r="B749" s="2">
        <v>2.0419999999999998</v>
      </c>
      <c r="C749" s="2">
        <v>0</v>
      </c>
      <c r="D749" s="2"/>
      <c r="E749" s="2">
        <v>40.799999999999997</v>
      </c>
      <c r="F749" s="2"/>
      <c r="G749" s="2">
        <v>375</v>
      </c>
      <c r="H749" s="2"/>
      <c r="I749" s="2"/>
      <c r="J749" s="3">
        <f>IF(A749="Upgrade",IF(OR(H749=4,H749=5),VLOOKUP(I749,'Renewal Rates'!$A$22:$B$27,2,FALSE),2.7%),IF(A749="Renewal",100%,0%))</f>
        <v>0</v>
      </c>
      <c r="K749" s="7" t="s">
        <v>50</v>
      </c>
      <c r="L749" s="2">
        <v>385</v>
      </c>
      <c r="M749" s="2" t="s">
        <v>23</v>
      </c>
      <c r="N749" s="2" t="s">
        <v>24</v>
      </c>
      <c r="O749" s="4">
        <v>87648</v>
      </c>
      <c r="P749" s="4">
        <v>2147</v>
      </c>
      <c r="Q749" s="4">
        <v>31778</v>
      </c>
      <c r="R749" s="4">
        <v>125244</v>
      </c>
      <c r="S749" s="5">
        <v>0.4</v>
      </c>
      <c r="T749" s="4">
        <v>50098</v>
      </c>
      <c r="U749" s="4">
        <v>175342</v>
      </c>
      <c r="V749" s="6">
        <f t="shared" si="22"/>
        <v>0</v>
      </c>
      <c r="W749" s="6">
        <f t="shared" si="23"/>
        <v>175342</v>
      </c>
    </row>
    <row r="750" spans="1:23" x14ac:dyDescent="0.3">
      <c r="A750" s="2" t="s">
        <v>25</v>
      </c>
      <c r="B750" s="2">
        <v>2.0209999999999999</v>
      </c>
      <c r="C750" s="2"/>
      <c r="D750" s="2"/>
      <c r="E750" s="2">
        <v>85.1</v>
      </c>
      <c r="F750" s="2"/>
      <c r="G750" s="2">
        <v>600</v>
      </c>
      <c r="H750" s="2"/>
      <c r="I750" s="2"/>
      <c r="J750" s="3">
        <f>IF(A750="Upgrade",IF(OR(H750=4,H750=5),VLOOKUP(I750,'Renewal Rates'!$A$22:$B$27,2,FALSE),2.7%),IF(A750="Renewal",100%,0%))</f>
        <v>0</v>
      </c>
      <c r="K750" s="2" t="s">
        <v>22</v>
      </c>
      <c r="L750" s="2">
        <v>385</v>
      </c>
      <c r="M750" s="2" t="s">
        <v>23</v>
      </c>
      <c r="N750" s="2" t="s">
        <v>24</v>
      </c>
      <c r="O750" s="4">
        <v>285953</v>
      </c>
      <c r="P750" s="4">
        <v>3360</v>
      </c>
      <c r="Q750" s="4">
        <v>97224</v>
      </c>
      <c r="R750" s="4">
        <v>383177</v>
      </c>
      <c r="S750" s="5">
        <v>0.4</v>
      </c>
      <c r="T750" s="4">
        <v>153271</v>
      </c>
      <c r="U750" s="4">
        <v>536448</v>
      </c>
      <c r="V750" s="6">
        <f t="shared" si="22"/>
        <v>0</v>
      </c>
      <c r="W750" s="6">
        <f t="shared" si="23"/>
        <v>536448</v>
      </c>
    </row>
    <row r="751" spans="1:23" x14ac:dyDescent="0.3">
      <c r="A751" s="2" t="s">
        <v>25</v>
      </c>
      <c r="B751" s="2">
        <v>2.04</v>
      </c>
      <c r="C751" s="2"/>
      <c r="D751" s="2"/>
      <c r="E751" s="2">
        <v>184.8</v>
      </c>
      <c r="F751" s="2"/>
      <c r="G751" s="2">
        <v>750</v>
      </c>
      <c r="H751" s="2"/>
      <c r="I751" s="2"/>
      <c r="J751" s="3">
        <f>IF(A751="Upgrade",IF(OR(H751=4,H751=5),VLOOKUP(I751,'Renewal Rates'!$A$22:$B$27,2,FALSE),2.7%),IF(A751="Renewal",100%,0%))</f>
        <v>0</v>
      </c>
      <c r="K751" s="2" t="s">
        <v>22</v>
      </c>
      <c r="L751" s="2">
        <v>385</v>
      </c>
      <c r="M751" s="2" t="s">
        <v>23</v>
      </c>
      <c r="N751" s="2" t="s">
        <v>24</v>
      </c>
      <c r="O751" s="4">
        <v>743551</v>
      </c>
      <c r="P751" s="4">
        <v>4025</v>
      </c>
      <c r="Q751" s="4">
        <v>252807</v>
      </c>
      <c r="R751" s="4">
        <v>996359</v>
      </c>
      <c r="S751" s="5">
        <v>0.4</v>
      </c>
      <c r="T751" s="4">
        <v>398543</v>
      </c>
      <c r="U751" s="4">
        <v>1394902</v>
      </c>
      <c r="V751" s="6">
        <f t="shared" si="22"/>
        <v>0</v>
      </c>
      <c r="W751" s="6">
        <f t="shared" si="23"/>
        <v>1394902</v>
      </c>
    </row>
    <row r="752" spans="1:23" x14ac:dyDescent="0.3">
      <c r="A752" s="2" t="s">
        <v>25</v>
      </c>
      <c r="B752" s="2">
        <v>2.0230000000000001</v>
      </c>
      <c r="C752" s="2">
        <v>0</v>
      </c>
      <c r="D752" s="2"/>
      <c r="E752" s="2">
        <v>330.5</v>
      </c>
      <c r="F752" s="2"/>
      <c r="G752" s="2">
        <v>675</v>
      </c>
      <c r="H752" s="2"/>
      <c r="I752" s="2"/>
      <c r="J752" s="3">
        <f>IF(A752="Upgrade",IF(OR(H752=4,H752=5),VLOOKUP(I752,'Renewal Rates'!$A$22:$B$27,2,FALSE),2.7%),IF(A752="Renewal",100%,0%))</f>
        <v>0</v>
      </c>
      <c r="K752" s="7" t="s">
        <v>50</v>
      </c>
      <c r="L752" s="2">
        <v>385</v>
      </c>
      <c r="M752" s="2" t="s">
        <v>23</v>
      </c>
      <c r="N752" s="2" t="s">
        <v>24</v>
      </c>
      <c r="O752" s="4">
        <v>990423</v>
      </c>
      <c r="P752" s="4">
        <v>2997</v>
      </c>
      <c r="Q752" s="4">
        <v>415190</v>
      </c>
      <c r="R752" s="4">
        <v>1636338</v>
      </c>
      <c r="S752" s="5">
        <v>0.4</v>
      </c>
      <c r="T752" s="4">
        <v>654535</v>
      </c>
      <c r="U752" s="4">
        <v>2290873</v>
      </c>
      <c r="V752" s="6">
        <f t="shared" si="22"/>
        <v>0</v>
      </c>
      <c r="W752" s="6">
        <f t="shared" si="23"/>
        <v>2290873</v>
      </c>
    </row>
    <row r="753" spans="1:23" x14ac:dyDescent="0.3">
      <c r="A753" s="2" t="s">
        <v>21</v>
      </c>
      <c r="B753" s="2">
        <v>2.0390000000000001</v>
      </c>
      <c r="C753" s="2">
        <v>2000763316</v>
      </c>
      <c r="D753" s="2">
        <v>45.6</v>
      </c>
      <c r="E753" s="2"/>
      <c r="F753" s="2">
        <v>375</v>
      </c>
      <c r="G753" s="2">
        <v>675</v>
      </c>
      <c r="H753" s="2"/>
      <c r="I753" s="2"/>
      <c r="J753" s="3">
        <f>IF(A753="Upgrade",IF(OR(H753=4,H753=5),VLOOKUP(I753,'Renewal Rates'!$A$22:$B$27,2,FALSE),2.7%),IF(A753="Renewal",100%,0%))</f>
        <v>2.7000000000000003E-2</v>
      </c>
      <c r="K753" s="2" t="s">
        <v>51</v>
      </c>
      <c r="L753" s="2">
        <v>385</v>
      </c>
      <c r="M753" s="2" t="s">
        <v>23</v>
      </c>
      <c r="N753" s="2" t="s">
        <v>24</v>
      </c>
      <c r="O753" s="4">
        <v>205739</v>
      </c>
      <c r="P753" s="4">
        <v>4510</v>
      </c>
      <c r="Q753" s="4">
        <v>69951</v>
      </c>
      <c r="R753" s="4">
        <v>275690</v>
      </c>
      <c r="S753" s="5">
        <v>0.4</v>
      </c>
      <c r="T753" s="4">
        <v>110276</v>
      </c>
      <c r="U753" s="4">
        <v>385965</v>
      </c>
      <c r="V753" s="6">
        <f t="shared" si="22"/>
        <v>10421.055000000002</v>
      </c>
      <c r="W753" s="6">
        <f t="shared" si="23"/>
        <v>375543.94500000001</v>
      </c>
    </row>
    <row r="754" spans="1:23" x14ac:dyDescent="0.3">
      <c r="A754" s="2" t="s">
        <v>21</v>
      </c>
      <c r="B754" s="2">
        <v>2.0390000000000001</v>
      </c>
      <c r="C754" s="2">
        <v>2000908406</v>
      </c>
      <c r="D754" s="2">
        <v>12.9</v>
      </c>
      <c r="E754" s="2"/>
      <c r="F754" s="2">
        <v>225</v>
      </c>
      <c r="G754" s="2">
        <v>675</v>
      </c>
      <c r="H754" s="2"/>
      <c r="I754" s="2"/>
      <c r="J754" s="3">
        <f>IF(A754="Upgrade",IF(OR(H754=4,H754=5),VLOOKUP(I754,'Renewal Rates'!$A$22:$B$27,2,FALSE),2.7%),IF(A754="Renewal",100%,0%))</f>
        <v>2.7000000000000003E-2</v>
      </c>
      <c r="K754" s="2" t="s">
        <v>51</v>
      </c>
      <c r="L754" s="2">
        <v>385</v>
      </c>
      <c r="M754" s="2" t="s">
        <v>23</v>
      </c>
      <c r="N754" s="2" t="s">
        <v>24</v>
      </c>
      <c r="O754" s="4">
        <v>84828</v>
      </c>
      <c r="P754" s="4">
        <v>6600</v>
      </c>
      <c r="Q754" s="4">
        <v>28842</v>
      </c>
      <c r="R754" s="4">
        <v>113670</v>
      </c>
      <c r="S754" s="5">
        <v>0.4</v>
      </c>
      <c r="T754" s="4">
        <v>45468</v>
      </c>
      <c r="U754" s="4">
        <v>159138</v>
      </c>
      <c r="V754" s="6">
        <f t="shared" si="22"/>
        <v>4296.7260000000006</v>
      </c>
      <c r="W754" s="6">
        <f t="shared" si="23"/>
        <v>154841.274</v>
      </c>
    </row>
    <row r="755" spans="1:23" x14ac:dyDescent="0.3">
      <c r="A755" s="2" t="s">
        <v>25</v>
      </c>
      <c r="B755" s="2">
        <v>2.012</v>
      </c>
      <c r="C755" s="2"/>
      <c r="D755" s="2"/>
      <c r="E755" s="2">
        <v>37.6</v>
      </c>
      <c r="F755" s="2"/>
      <c r="G755" s="2">
        <v>450</v>
      </c>
      <c r="H755" s="2"/>
      <c r="I755" s="2"/>
      <c r="J755" s="3">
        <f>IF(A755="Upgrade",IF(OR(H755=4,H755=5),VLOOKUP(I755,'Renewal Rates'!$A$22:$B$27,2,FALSE),2.7%),IF(A755="Renewal",100%,0%))</f>
        <v>0</v>
      </c>
      <c r="K755" s="2" t="s">
        <v>51</v>
      </c>
      <c r="L755" s="2">
        <v>385</v>
      </c>
      <c r="M755" s="2" t="s">
        <v>23</v>
      </c>
      <c r="N755" s="2" t="s">
        <v>24</v>
      </c>
      <c r="O755" s="4">
        <v>110097</v>
      </c>
      <c r="P755" s="4">
        <v>2925</v>
      </c>
      <c r="Q755" s="4">
        <v>37433</v>
      </c>
      <c r="R755" s="4">
        <v>147530</v>
      </c>
      <c r="S755" s="5">
        <v>0.4</v>
      </c>
      <c r="T755" s="4">
        <v>59012</v>
      </c>
      <c r="U755" s="4">
        <v>206542</v>
      </c>
      <c r="V755" s="6">
        <f t="shared" si="22"/>
        <v>0</v>
      </c>
      <c r="W755" s="6">
        <f t="shared" si="23"/>
        <v>206542</v>
      </c>
    </row>
    <row r="756" spans="1:23" x14ac:dyDescent="0.3">
      <c r="A756" s="2" t="s">
        <v>21</v>
      </c>
      <c r="B756" s="2">
        <v>2.0089999999999999</v>
      </c>
      <c r="C756" s="2">
        <v>2000345435</v>
      </c>
      <c r="D756" s="2">
        <v>25.5</v>
      </c>
      <c r="E756" s="2"/>
      <c r="F756" s="2">
        <v>225</v>
      </c>
      <c r="G756" s="2">
        <v>900</v>
      </c>
      <c r="H756" s="2"/>
      <c r="I756" s="2"/>
      <c r="J756" s="3">
        <f>IF(A756="Upgrade",IF(OR(H756=4,H756=5),VLOOKUP(I756,'Renewal Rates'!$A$22:$B$27,2,FALSE),2.7%),IF(A756="Renewal",100%,0%))</f>
        <v>2.7000000000000003E-2</v>
      </c>
      <c r="K756" s="2" t="s">
        <v>51</v>
      </c>
      <c r="L756" s="2">
        <v>385</v>
      </c>
      <c r="M756" s="2" t="s">
        <v>23</v>
      </c>
      <c r="N756" s="2" t="s">
        <v>24</v>
      </c>
      <c r="O756" s="4">
        <v>186351</v>
      </c>
      <c r="P756" s="4">
        <v>7316</v>
      </c>
      <c r="Q756" s="4">
        <v>63359</v>
      </c>
      <c r="R756" s="4">
        <v>249711</v>
      </c>
      <c r="S756" s="5">
        <v>0.4</v>
      </c>
      <c r="T756" s="4">
        <v>99884</v>
      </c>
      <c r="U756" s="4">
        <v>349595</v>
      </c>
      <c r="V756" s="6">
        <f t="shared" si="22"/>
        <v>9439.0650000000005</v>
      </c>
      <c r="W756" s="6">
        <f t="shared" si="23"/>
        <v>340155.935</v>
      </c>
    </row>
    <row r="757" spans="1:23" x14ac:dyDescent="0.3">
      <c r="A757" s="2" t="s">
        <v>21</v>
      </c>
      <c r="B757" s="2">
        <v>2.0089999999999999</v>
      </c>
      <c r="C757" s="2">
        <v>2000237938</v>
      </c>
      <c r="D757" s="2">
        <v>28.7</v>
      </c>
      <c r="E757" s="2"/>
      <c r="F757" s="2">
        <v>225</v>
      </c>
      <c r="G757" s="2">
        <v>900</v>
      </c>
      <c r="H757" s="2"/>
      <c r="I757" s="2"/>
      <c r="J757" s="3">
        <f>IF(A757="Upgrade",IF(OR(H757=4,H757=5),VLOOKUP(I757,'Renewal Rates'!$A$22:$B$27,2,FALSE),2.7%),IF(A757="Renewal",100%,0%))</f>
        <v>2.7000000000000003E-2</v>
      </c>
      <c r="K757" s="2" t="s">
        <v>51</v>
      </c>
      <c r="L757" s="2">
        <v>385</v>
      </c>
      <c r="M757" s="2" t="s">
        <v>23</v>
      </c>
      <c r="N757" s="2" t="s">
        <v>24</v>
      </c>
      <c r="O757" s="4">
        <v>168423</v>
      </c>
      <c r="P757" s="4">
        <v>5866</v>
      </c>
      <c r="Q757" s="4">
        <v>57264</v>
      </c>
      <c r="R757" s="4">
        <v>225687</v>
      </c>
      <c r="S757" s="5">
        <v>0.4</v>
      </c>
      <c r="T757" s="4">
        <v>90275</v>
      </c>
      <c r="U757" s="4">
        <v>315962</v>
      </c>
      <c r="V757" s="6">
        <f t="shared" si="22"/>
        <v>8530.9740000000002</v>
      </c>
      <c r="W757" s="6">
        <f t="shared" si="23"/>
        <v>307431.02600000001</v>
      </c>
    </row>
    <row r="758" spans="1:23" x14ac:dyDescent="0.3">
      <c r="A758" s="2" t="s">
        <v>25</v>
      </c>
      <c r="B758" s="2">
        <v>2.0099999999999998</v>
      </c>
      <c r="C758" s="2"/>
      <c r="D758" s="2"/>
      <c r="E758" s="2">
        <v>79.5</v>
      </c>
      <c r="F758" s="2"/>
      <c r="G758" s="2">
        <v>375</v>
      </c>
      <c r="H758" s="2"/>
      <c r="I758" s="2"/>
      <c r="J758" s="3">
        <f>IF(A758="Upgrade",IF(OR(H758=4,H758=5),VLOOKUP(I758,'Renewal Rates'!$A$22:$B$27,2,FALSE),2.7%),IF(A758="Renewal",100%,0%))</f>
        <v>0</v>
      </c>
      <c r="K758" s="2" t="s">
        <v>51</v>
      </c>
      <c r="L758" s="2">
        <v>385</v>
      </c>
      <c r="M758" s="2" t="s">
        <v>23</v>
      </c>
      <c r="N758" s="2" t="s">
        <v>24</v>
      </c>
      <c r="O758" s="4">
        <v>163945</v>
      </c>
      <c r="P758" s="4">
        <v>2062</v>
      </c>
      <c r="Q758" s="4">
        <v>55741</v>
      </c>
      <c r="R758" s="4">
        <v>219686</v>
      </c>
      <c r="S758" s="5">
        <v>0.4</v>
      </c>
      <c r="T758" s="4">
        <v>87874</v>
      </c>
      <c r="U758" s="4">
        <v>307560</v>
      </c>
      <c r="V758" s="6">
        <f t="shared" si="22"/>
        <v>0</v>
      </c>
      <c r="W758" s="6">
        <f t="shared" si="23"/>
        <v>307560</v>
      </c>
    </row>
    <row r="759" spans="1:23" x14ac:dyDescent="0.3">
      <c r="A759" s="2" t="s">
        <v>25</v>
      </c>
      <c r="B759" s="2">
        <v>2.0110000000000001</v>
      </c>
      <c r="C759" s="2"/>
      <c r="D759" s="2"/>
      <c r="E759" s="2">
        <v>184.6</v>
      </c>
      <c r="F759" s="2"/>
      <c r="G759" s="2">
        <v>600</v>
      </c>
      <c r="H759" s="2"/>
      <c r="I759" s="2"/>
      <c r="J759" s="3">
        <f>IF(A759="Upgrade",IF(OR(H759=4,H759=5),VLOOKUP(I759,'Renewal Rates'!$A$22:$B$27,2,FALSE),2.7%),IF(A759="Renewal",100%,0%))</f>
        <v>0</v>
      </c>
      <c r="K759" s="2" t="s">
        <v>51</v>
      </c>
      <c r="L759" s="2">
        <v>385</v>
      </c>
      <c r="M759" s="2" t="s">
        <v>23</v>
      </c>
      <c r="N759" s="2" t="s">
        <v>24</v>
      </c>
      <c r="O759" s="4">
        <v>581180</v>
      </c>
      <c r="P759" s="4">
        <v>3148</v>
      </c>
      <c r="Q759" s="4">
        <v>197601</v>
      </c>
      <c r="R759" s="4">
        <v>778781</v>
      </c>
      <c r="S759" s="5">
        <v>0.4</v>
      </c>
      <c r="T759" s="4">
        <v>311513</v>
      </c>
      <c r="U759" s="4">
        <v>1090294</v>
      </c>
      <c r="V759" s="6">
        <f t="shared" si="22"/>
        <v>0</v>
      </c>
      <c r="W759" s="6">
        <f t="shared" si="23"/>
        <v>1090294</v>
      </c>
    </row>
    <row r="760" spans="1:23" x14ac:dyDescent="0.3">
      <c r="A760" s="2" t="s">
        <v>21</v>
      </c>
      <c r="B760" s="2">
        <v>2.0289999999999999</v>
      </c>
      <c r="C760" s="2">
        <v>2000240812</v>
      </c>
      <c r="D760" s="2">
        <v>70.7</v>
      </c>
      <c r="E760" s="2"/>
      <c r="F760" s="2">
        <v>225</v>
      </c>
      <c r="G760" s="2">
        <v>600</v>
      </c>
      <c r="H760" s="2"/>
      <c r="I760" s="2"/>
      <c r="J760" s="3">
        <f>IF(A760="Upgrade",IF(OR(H760=4,H760=5),VLOOKUP(I760,'Renewal Rates'!$A$22:$B$27,2,FALSE),2.7%),IF(A760="Renewal",100%,0%))</f>
        <v>2.7000000000000003E-2</v>
      </c>
      <c r="K760" s="7" t="s">
        <v>50</v>
      </c>
      <c r="L760" s="2">
        <v>385</v>
      </c>
      <c r="M760" s="2" t="s">
        <v>23</v>
      </c>
      <c r="N760" s="2" t="s">
        <v>24</v>
      </c>
      <c r="O760" s="4">
        <v>228367</v>
      </c>
      <c r="P760" s="4">
        <v>3232</v>
      </c>
      <c r="Q760" s="4">
        <v>91100</v>
      </c>
      <c r="R760" s="4">
        <v>359042</v>
      </c>
      <c r="S760" s="5">
        <v>0.4</v>
      </c>
      <c r="T760" s="4">
        <v>143617</v>
      </c>
      <c r="U760" s="4">
        <v>502659</v>
      </c>
      <c r="V760" s="6">
        <f t="shared" si="22"/>
        <v>13571.793000000001</v>
      </c>
      <c r="W760" s="6">
        <f t="shared" si="23"/>
        <v>489087.20699999999</v>
      </c>
    </row>
    <row r="761" spans="1:23" x14ac:dyDescent="0.3">
      <c r="A761" s="2" t="s">
        <v>25</v>
      </c>
      <c r="B761" s="2">
        <v>2.0169999999999999</v>
      </c>
      <c r="C761" s="2">
        <v>0</v>
      </c>
      <c r="D761" s="2"/>
      <c r="E761" s="2">
        <v>266.7</v>
      </c>
      <c r="F761" s="2"/>
      <c r="G761" s="2">
        <v>750</v>
      </c>
      <c r="H761" s="2"/>
      <c r="I761" s="2"/>
      <c r="J761" s="3">
        <f>IF(A761="Upgrade",IF(OR(H761=4,H761=5),VLOOKUP(I761,'Renewal Rates'!$A$22:$B$27,2,FALSE),2.7%),IF(A761="Renewal",100%,0%))</f>
        <v>0</v>
      </c>
      <c r="K761" s="7" t="s">
        <v>50</v>
      </c>
      <c r="L761" s="7">
        <v>385</v>
      </c>
      <c r="M761" s="2" t="s">
        <v>23</v>
      </c>
      <c r="N761" s="2" t="s">
        <v>24</v>
      </c>
      <c r="O761" s="4">
        <v>782638</v>
      </c>
      <c r="P761" s="4">
        <v>2934</v>
      </c>
      <c r="Q761" s="4">
        <v>319105</v>
      </c>
      <c r="R761" s="4">
        <v>1257648</v>
      </c>
      <c r="S761" s="5">
        <v>0.4</v>
      </c>
      <c r="T761" s="4">
        <v>503059</v>
      </c>
      <c r="U761" s="4">
        <v>1760707</v>
      </c>
      <c r="V761" s="6">
        <f t="shared" si="22"/>
        <v>0</v>
      </c>
      <c r="W761" s="6">
        <f t="shared" si="23"/>
        <v>1760707</v>
      </c>
    </row>
    <row r="762" spans="1:23" x14ac:dyDescent="0.3">
      <c r="A762" s="2" t="s">
        <v>25</v>
      </c>
      <c r="B762" s="2">
        <v>2.0179999999999998</v>
      </c>
      <c r="C762" s="2"/>
      <c r="D762" s="2"/>
      <c r="E762" s="2">
        <v>142.30000000000001</v>
      </c>
      <c r="F762" s="2"/>
      <c r="G762" s="2">
        <v>525</v>
      </c>
      <c r="H762" s="2"/>
      <c r="I762" s="2"/>
      <c r="J762" s="3">
        <f>IF(A762="Upgrade",IF(OR(H762=4,H762=5),VLOOKUP(I762,'Renewal Rates'!$A$22:$B$27,2,FALSE),2.7%),IF(A762="Renewal",100%,0%))</f>
        <v>0</v>
      </c>
      <c r="K762" s="2" t="s">
        <v>22</v>
      </c>
      <c r="L762" s="2">
        <v>385</v>
      </c>
      <c r="M762" s="2" t="s">
        <v>23</v>
      </c>
      <c r="N762" s="2" t="s">
        <v>24</v>
      </c>
      <c r="O762" s="4">
        <v>403327</v>
      </c>
      <c r="P762" s="4">
        <v>2834</v>
      </c>
      <c r="Q762" s="4">
        <v>137131</v>
      </c>
      <c r="R762" s="4">
        <v>540458</v>
      </c>
      <c r="S762" s="5">
        <v>0.4</v>
      </c>
      <c r="T762" s="4">
        <v>216183</v>
      </c>
      <c r="U762" s="4">
        <v>756641</v>
      </c>
      <c r="V762" s="6">
        <f t="shared" si="22"/>
        <v>0</v>
      </c>
      <c r="W762" s="6">
        <f t="shared" si="23"/>
        <v>756641</v>
      </c>
    </row>
    <row r="763" spans="1:23" x14ac:dyDescent="0.3">
      <c r="A763" s="2" t="s">
        <v>25</v>
      </c>
      <c r="B763" s="2">
        <v>2.0430000000000001</v>
      </c>
      <c r="C763" s="2"/>
      <c r="D763" s="2"/>
      <c r="E763" s="2">
        <v>93</v>
      </c>
      <c r="F763" s="2"/>
      <c r="G763" s="2">
        <v>525</v>
      </c>
      <c r="H763" s="2"/>
      <c r="I763" s="2"/>
      <c r="J763" s="3">
        <f>IF(A763="Upgrade",IF(OR(H763=4,H763=5),VLOOKUP(I763,'Renewal Rates'!$A$22:$B$27,2,FALSE),2.7%),IF(A763="Renewal",100%,0%))</f>
        <v>0</v>
      </c>
      <c r="K763" s="2" t="s">
        <v>49</v>
      </c>
      <c r="L763" s="2">
        <v>385</v>
      </c>
      <c r="M763" s="2" t="s">
        <v>23</v>
      </c>
      <c r="N763" s="2" t="s">
        <v>24</v>
      </c>
      <c r="O763" s="4">
        <v>296405</v>
      </c>
      <c r="P763" s="4">
        <v>3188</v>
      </c>
      <c r="Q763" s="4">
        <v>100778</v>
      </c>
      <c r="R763" s="4">
        <v>397183</v>
      </c>
      <c r="S763" s="5">
        <v>0.4</v>
      </c>
      <c r="T763" s="4">
        <v>158873</v>
      </c>
      <c r="U763" s="4">
        <v>556057</v>
      </c>
      <c r="V763" s="6">
        <f t="shared" si="22"/>
        <v>0</v>
      </c>
      <c r="W763" s="6">
        <f t="shared" si="23"/>
        <v>556057</v>
      </c>
    </row>
    <row r="764" spans="1:23" x14ac:dyDescent="0.3">
      <c r="A764" s="2" t="s">
        <v>25</v>
      </c>
      <c r="B764" s="2">
        <v>2.0070000000000001</v>
      </c>
      <c r="C764" s="2"/>
      <c r="D764" s="2"/>
      <c r="E764" s="2">
        <v>383.3</v>
      </c>
      <c r="F764" s="2"/>
      <c r="G764" s="2">
        <v>825</v>
      </c>
      <c r="H764" s="2"/>
      <c r="I764" s="2"/>
      <c r="J764" s="3">
        <f>IF(A764="Upgrade",IF(OR(H764=4,H764=5),VLOOKUP(I764,'Renewal Rates'!$A$22:$B$27,2,FALSE),2.7%),IF(A764="Renewal",100%,0%))</f>
        <v>0</v>
      </c>
      <c r="K764" s="2" t="s">
        <v>49</v>
      </c>
      <c r="L764" s="2">
        <v>385</v>
      </c>
      <c r="M764" s="2" t="s">
        <v>23</v>
      </c>
      <c r="N764" s="2" t="s">
        <v>24</v>
      </c>
      <c r="O764" s="4">
        <v>1656705</v>
      </c>
      <c r="P764" s="4">
        <v>4322</v>
      </c>
      <c r="Q764" s="4">
        <v>563280</v>
      </c>
      <c r="R764" s="4">
        <v>2219985</v>
      </c>
      <c r="S764" s="5">
        <v>0.4</v>
      </c>
      <c r="T764" s="4">
        <v>887994</v>
      </c>
      <c r="U764" s="4">
        <v>3107979</v>
      </c>
      <c r="V764" s="6">
        <f t="shared" si="22"/>
        <v>0</v>
      </c>
      <c r="W764" s="6">
        <f t="shared" si="23"/>
        <v>3107979</v>
      </c>
    </row>
    <row r="765" spans="1:23" x14ac:dyDescent="0.3">
      <c r="A765" s="2" t="s">
        <v>25</v>
      </c>
      <c r="B765" s="2">
        <v>2.008</v>
      </c>
      <c r="C765" s="2"/>
      <c r="D765" s="2"/>
      <c r="E765" s="2">
        <v>83.7</v>
      </c>
      <c r="F765" s="2"/>
      <c r="G765" s="2">
        <v>600</v>
      </c>
      <c r="H765" s="2"/>
      <c r="I765" s="2"/>
      <c r="J765" s="3">
        <f>IF(A765="Upgrade",IF(OR(H765=4,H765=5),VLOOKUP(I765,'Renewal Rates'!$A$22:$B$27,2,FALSE),2.7%),IF(A765="Renewal",100%,0%))</f>
        <v>0</v>
      </c>
      <c r="K765" s="2" t="s">
        <v>49</v>
      </c>
      <c r="L765" s="2">
        <v>385</v>
      </c>
      <c r="M765" s="2" t="s">
        <v>23</v>
      </c>
      <c r="N765" s="2" t="s">
        <v>24</v>
      </c>
      <c r="O765" s="4">
        <v>268067</v>
      </c>
      <c r="P765" s="4">
        <v>3204</v>
      </c>
      <c r="Q765" s="4">
        <v>91143</v>
      </c>
      <c r="R765" s="4">
        <v>359210</v>
      </c>
      <c r="S765" s="5">
        <v>0.4</v>
      </c>
      <c r="T765" s="4">
        <v>143684</v>
      </c>
      <c r="U765" s="4">
        <v>502894</v>
      </c>
      <c r="V765" s="6">
        <f t="shared" si="22"/>
        <v>0</v>
      </c>
      <c r="W765" s="6">
        <f t="shared" si="23"/>
        <v>502894</v>
      </c>
    </row>
    <row r="766" spans="1:23" x14ac:dyDescent="0.3">
      <c r="A766" s="2" t="s">
        <v>25</v>
      </c>
      <c r="B766" s="2">
        <v>2.0369999999999999</v>
      </c>
      <c r="C766" s="2"/>
      <c r="D766" s="2"/>
      <c r="E766" s="2">
        <v>199</v>
      </c>
      <c r="F766" s="2"/>
      <c r="G766" s="2">
        <v>750</v>
      </c>
      <c r="H766" s="2"/>
      <c r="I766" s="2"/>
      <c r="J766" s="3">
        <f>IF(A766="Upgrade",IF(OR(H766=4,H766=5),VLOOKUP(I766,'Renewal Rates'!$A$22:$B$27,2,FALSE),2.7%),IF(A766="Renewal",100%,0%))</f>
        <v>0</v>
      </c>
      <c r="K766" s="2" t="s">
        <v>49</v>
      </c>
      <c r="L766" s="2">
        <v>385</v>
      </c>
      <c r="M766" s="2" t="s">
        <v>23</v>
      </c>
      <c r="N766" s="2" t="s">
        <v>24</v>
      </c>
      <c r="O766" s="4">
        <v>782340</v>
      </c>
      <c r="P766" s="4">
        <v>3932</v>
      </c>
      <c r="Q766" s="4">
        <v>265996</v>
      </c>
      <c r="R766" s="4">
        <v>1048335</v>
      </c>
      <c r="S766" s="5">
        <v>0.4</v>
      </c>
      <c r="T766" s="4">
        <v>419334</v>
      </c>
      <c r="U766" s="4">
        <v>1467670</v>
      </c>
      <c r="V766" s="6">
        <f t="shared" si="22"/>
        <v>0</v>
      </c>
      <c r="W766" s="6">
        <f t="shared" si="23"/>
        <v>1467670</v>
      </c>
    </row>
    <row r="767" spans="1:23" x14ac:dyDescent="0.3">
      <c r="A767" s="2" t="s">
        <v>25</v>
      </c>
      <c r="B767" s="2">
        <v>2.0049999999999999</v>
      </c>
      <c r="C767" s="2"/>
      <c r="D767" s="2"/>
      <c r="E767" s="2">
        <v>70.599999999999994</v>
      </c>
      <c r="F767" s="2"/>
      <c r="G767" s="2">
        <v>525</v>
      </c>
      <c r="H767" s="2"/>
      <c r="I767" s="2"/>
      <c r="J767" s="3">
        <f>IF(A767="Upgrade",IF(OR(H767=4,H767=5),VLOOKUP(I767,'Renewal Rates'!$A$22:$B$27,2,FALSE),2.7%),IF(A767="Renewal",100%,0%))</f>
        <v>0</v>
      </c>
      <c r="K767" s="2" t="s">
        <v>49</v>
      </c>
      <c r="L767" s="2">
        <v>385</v>
      </c>
      <c r="M767" s="2" t="s">
        <v>23</v>
      </c>
      <c r="N767" s="2" t="s">
        <v>24</v>
      </c>
      <c r="O767" s="4">
        <v>221646</v>
      </c>
      <c r="P767" s="4">
        <v>3138</v>
      </c>
      <c r="Q767" s="4">
        <v>75360</v>
      </c>
      <c r="R767" s="4">
        <v>297006</v>
      </c>
      <c r="S767" s="5">
        <v>0.4</v>
      </c>
      <c r="T767" s="4">
        <v>118802</v>
      </c>
      <c r="U767" s="4">
        <v>415808</v>
      </c>
      <c r="V767" s="6">
        <f t="shared" si="22"/>
        <v>0</v>
      </c>
      <c r="W767" s="6">
        <f t="shared" si="23"/>
        <v>415808</v>
      </c>
    </row>
    <row r="768" spans="1:23" x14ac:dyDescent="0.3">
      <c r="A768" s="2" t="s">
        <v>25</v>
      </c>
      <c r="B768" s="2">
        <v>2.0030000000000001</v>
      </c>
      <c r="C768" s="2"/>
      <c r="D768" s="2"/>
      <c r="E768" s="2">
        <v>135</v>
      </c>
      <c r="F768" s="2"/>
      <c r="G768" s="2">
        <v>675</v>
      </c>
      <c r="H768" s="2"/>
      <c r="I768" s="2"/>
      <c r="J768" s="3">
        <f>IF(A768="Upgrade",IF(OR(H768=4,H768=5),VLOOKUP(I768,'Renewal Rates'!$A$22:$B$27,2,FALSE),2.7%),IF(A768="Renewal",100%,0%))</f>
        <v>0</v>
      </c>
      <c r="K768" s="2" t="s">
        <v>49</v>
      </c>
      <c r="L768" s="2">
        <v>386</v>
      </c>
      <c r="M768" s="2" t="s">
        <v>23</v>
      </c>
      <c r="N768" s="2" t="s">
        <v>24</v>
      </c>
      <c r="O768" s="4">
        <v>494704</v>
      </c>
      <c r="P768" s="4">
        <v>3665</v>
      </c>
      <c r="Q768" s="4">
        <v>168199</v>
      </c>
      <c r="R768" s="4">
        <v>662903</v>
      </c>
      <c r="S768" s="5">
        <v>0.4</v>
      </c>
      <c r="T768" s="4">
        <v>265161</v>
      </c>
      <c r="U768" s="4">
        <v>928064</v>
      </c>
      <c r="V768" s="6">
        <f t="shared" si="22"/>
        <v>0</v>
      </c>
      <c r="W768" s="6">
        <f t="shared" si="23"/>
        <v>928064</v>
      </c>
    </row>
    <row r="769" spans="1:23" x14ac:dyDescent="0.3">
      <c r="A769" s="2" t="s">
        <v>25</v>
      </c>
      <c r="B769" s="2">
        <v>2.004</v>
      </c>
      <c r="C769" s="2"/>
      <c r="D769" s="2"/>
      <c r="E769" s="2">
        <v>123</v>
      </c>
      <c r="F769" s="2"/>
      <c r="G769" s="2">
        <v>900</v>
      </c>
      <c r="H769" s="2"/>
      <c r="I769" s="2"/>
      <c r="J769" s="3">
        <f>IF(A769="Upgrade",IF(OR(H769=4,H769=5),VLOOKUP(I769,'Renewal Rates'!$A$22:$B$27,2,FALSE),2.7%),IF(A769="Renewal",100%,0%))</f>
        <v>0</v>
      </c>
      <c r="K769" s="2" t="s">
        <v>49</v>
      </c>
      <c r="L769" s="2">
        <v>386</v>
      </c>
      <c r="M769" s="2" t="s">
        <v>23</v>
      </c>
      <c r="N769" s="2" t="s">
        <v>24</v>
      </c>
      <c r="O769" s="4">
        <v>646985</v>
      </c>
      <c r="P769" s="4">
        <v>5262</v>
      </c>
      <c r="Q769" s="4">
        <v>219975</v>
      </c>
      <c r="R769" s="4">
        <v>866960</v>
      </c>
      <c r="S769" s="5">
        <v>0.4</v>
      </c>
      <c r="T769" s="4">
        <v>346784</v>
      </c>
      <c r="U769" s="4">
        <v>1213745</v>
      </c>
      <c r="V769" s="6">
        <f t="shared" si="22"/>
        <v>0</v>
      </c>
      <c r="W769" s="6">
        <f t="shared" si="23"/>
        <v>1213745</v>
      </c>
    </row>
    <row r="770" spans="1:23" x14ac:dyDescent="0.3">
      <c r="A770" s="2" t="s">
        <v>25</v>
      </c>
      <c r="B770" s="2">
        <v>2.0459999999999998</v>
      </c>
      <c r="C770" s="2"/>
      <c r="D770" s="2"/>
      <c r="E770" s="2">
        <v>207.1</v>
      </c>
      <c r="F770" s="2"/>
      <c r="G770" s="2">
        <v>600</v>
      </c>
      <c r="H770" s="2"/>
      <c r="I770" s="2"/>
      <c r="J770" s="3">
        <f>IF(A770="Upgrade",IF(OR(H770=4,H770=5),VLOOKUP(I770,'Renewal Rates'!$A$22:$B$27,2,FALSE),2.7%),IF(A770="Renewal",100%,0%))</f>
        <v>0</v>
      </c>
      <c r="K770" s="2" t="s">
        <v>49</v>
      </c>
      <c r="L770" s="2">
        <v>386</v>
      </c>
      <c r="M770" s="2" t="s">
        <v>23</v>
      </c>
      <c r="N770" s="2" t="s">
        <v>24</v>
      </c>
      <c r="O770" s="4">
        <v>661660</v>
      </c>
      <c r="P770" s="4">
        <v>3196</v>
      </c>
      <c r="Q770" s="4">
        <v>224964</v>
      </c>
      <c r="R770" s="4">
        <v>886625</v>
      </c>
      <c r="S770" s="5">
        <v>0.4</v>
      </c>
      <c r="T770" s="4">
        <v>354650</v>
      </c>
      <c r="U770" s="4">
        <v>1241275</v>
      </c>
      <c r="V770" s="6">
        <f t="shared" si="22"/>
        <v>0</v>
      </c>
      <c r="W770" s="6">
        <f t="shared" si="23"/>
        <v>1241275</v>
      </c>
    </row>
    <row r="771" spans="1:23" x14ac:dyDescent="0.3">
      <c r="A771" s="2" t="s">
        <v>25</v>
      </c>
      <c r="B771" s="2">
        <v>2.0510000000000002</v>
      </c>
      <c r="C771" s="2"/>
      <c r="D771" s="2"/>
      <c r="E771" s="2">
        <v>108.8</v>
      </c>
      <c r="F771" s="2"/>
      <c r="G771" s="2">
        <v>525</v>
      </c>
      <c r="H771" s="2"/>
      <c r="I771" s="2"/>
      <c r="J771" s="3">
        <f>IF(A771="Upgrade",IF(OR(H771=4,H771=5),VLOOKUP(I771,'Renewal Rates'!$A$22:$B$27,2,FALSE),2.7%),IF(A771="Renewal",100%,0%))</f>
        <v>0</v>
      </c>
      <c r="K771" s="2" t="s">
        <v>49</v>
      </c>
      <c r="L771" s="2">
        <v>386</v>
      </c>
      <c r="M771" s="2" t="s">
        <v>23</v>
      </c>
      <c r="N771" s="2" t="s">
        <v>24</v>
      </c>
      <c r="O771" s="4">
        <v>332184</v>
      </c>
      <c r="P771" s="4">
        <v>3052</v>
      </c>
      <c r="Q771" s="4">
        <v>112943</v>
      </c>
      <c r="R771" s="4">
        <v>445127</v>
      </c>
      <c r="S771" s="5">
        <v>0.4</v>
      </c>
      <c r="T771" s="4">
        <v>178051</v>
      </c>
      <c r="U771" s="4">
        <v>623178</v>
      </c>
      <c r="V771" s="6">
        <f t="shared" ref="V771:V834" si="24">J771*U771</f>
        <v>0</v>
      </c>
      <c r="W771" s="6">
        <f t="shared" ref="W771:W834" si="25">U771-V771</f>
        <v>623178</v>
      </c>
    </row>
    <row r="772" spans="1:23" x14ac:dyDescent="0.3">
      <c r="A772" s="2" t="s">
        <v>25</v>
      </c>
      <c r="B772" s="2">
        <v>2.036</v>
      </c>
      <c r="C772" s="2"/>
      <c r="D772" s="2"/>
      <c r="E772" s="2">
        <v>130.9</v>
      </c>
      <c r="F772" s="2"/>
      <c r="G772" s="2">
        <v>750</v>
      </c>
      <c r="H772" s="2"/>
      <c r="I772" s="2"/>
      <c r="J772" s="3">
        <f>IF(A772="Upgrade",IF(OR(H772=4,H772=5),VLOOKUP(I772,'Renewal Rates'!$A$22:$B$27,2,FALSE),2.7%),IF(A772="Renewal",100%,0%))</f>
        <v>0</v>
      </c>
      <c r="K772" s="2" t="s">
        <v>49</v>
      </c>
      <c r="L772" s="2">
        <v>386</v>
      </c>
      <c r="M772" s="2" t="s">
        <v>23</v>
      </c>
      <c r="N772" s="2" t="s">
        <v>24</v>
      </c>
      <c r="O772" s="4">
        <v>552570</v>
      </c>
      <c r="P772" s="4">
        <v>4222</v>
      </c>
      <c r="Q772" s="4">
        <v>187874</v>
      </c>
      <c r="R772" s="4">
        <v>740444</v>
      </c>
      <c r="S772" s="5">
        <v>0.4</v>
      </c>
      <c r="T772" s="4">
        <v>296178</v>
      </c>
      <c r="U772" s="4">
        <v>1036621</v>
      </c>
      <c r="V772" s="6">
        <f t="shared" si="24"/>
        <v>0</v>
      </c>
      <c r="W772" s="6">
        <f t="shared" si="25"/>
        <v>1036621</v>
      </c>
    </row>
    <row r="773" spans="1:23" x14ac:dyDescent="0.3">
      <c r="A773" s="2" t="s">
        <v>25</v>
      </c>
      <c r="B773" s="2">
        <v>2.0350000000000001</v>
      </c>
      <c r="C773" s="2"/>
      <c r="D773" s="2"/>
      <c r="E773" s="2">
        <v>103.1</v>
      </c>
      <c r="F773" s="2"/>
      <c r="G773" s="2">
        <v>525</v>
      </c>
      <c r="H773" s="2"/>
      <c r="I773" s="2"/>
      <c r="J773" s="3">
        <f>IF(A773="Upgrade",IF(OR(H773=4,H773=5),VLOOKUP(I773,'Renewal Rates'!$A$22:$B$27,2,FALSE),2.7%),IF(A773="Renewal",100%,0%))</f>
        <v>0</v>
      </c>
      <c r="K773" s="2" t="s">
        <v>49</v>
      </c>
      <c r="L773" s="2">
        <v>386</v>
      </c>
      <c r="M773" s="2" t="s">
        <v>23</v>
      </c>
      <c r="N773" s="2" t="s">
        <v>24</v>
      </c>
      <c r="O773" s="4">
        <v>327165</v>
      </c>
      <c r="P773" s="4">
        <v>3174</v>
      </c>
      <c r="Q773" s="4">
        <v>111236</v>
      </c>
      <c r="R773" s="4">
        <v>438400</v>
      </c>
      <c r="S773" s="5">
        <v>0.4</v>
      </c>
      <c r="T773" s="4">
        <v>175360</v>
      </c>
      <c r="U773" s="4">
        <v>613761</v>
      </c>
      <c r="V773" s="6">
        <f t="shared" si="24"/>
        <v>0</v>
      </c>
      <c r="W773" s="6">
        <f t="shared" si="25"/>
        <v>613761</v>
      </c>
    </row>
    <row r="774" spans="1:23" x14ac:dyDescent="0.3">
      <c r="A774" s="2" t="s">
        <v>25</v>
      </c>
      <c r="B774" s="2">
        <v>2.0059999999999998</v>
      </c>
      <c r="C774" s="2"/>
      <c r="D774" s="2"/>
      <c r="E774" s="2">
        <v>338.9</v>
      </c>
      <c r="F774" s="2"/>
      <c r="G774" s="2">
        <v>675</v>
      </c>
      <c r="H774" s="2"/>
      <c r="I774" s="2"/>
      <c r="J774" s="3">
        <f>IF(A774="Upgrade",IF(OR(H774=4,H774=5),VLOOKUP(I774,'Renewal Rates'!$A$22:$B$27,2,FALSE),2.7%),IF(A774="Renewal",100%,0%))</f>
        <v>0</v>
      </c>
      <c r="K774" s="2" t="s">
        <v>49</v>
      </c>
      <c r="L774" s="2">
        <v>386</v>
      </c>
      <c r="M774" s="2" t="s">
        <v>23</v>
      </c>
      <c r="N774" s="2" t="s">
        <v>24</v>
      </c>
      <c r="O774" s="4">
        <v>1227247</v>
      </c>
      <c r="P774" s="4">
        <v>3621</v>
      </c>
      <c r="Q774" s="4">
        <v>417264</v>
      </c>
      <c r="R774" s="4">
        <v>1644511</v>
      </c>
      <c r="S774" s="5">
        <v>0.4</v>
      </c>
      <c r="T774" s="4">
        <v>657805</v>
      </c>
      <c r="U774" s="4">
        <v>2302316</v>
      </c>
      <c r="V774" s="6">
        <f t="shared" si="24"/>
        <v>0</v>
      </c>
      <c r="W774" s="6">
        <f t="shared" si="25"/>
        <v>2302316</v>
      </c>
    </row>
    <row r="775" spans="1:23" x14ac:dyDescent="0.3">
      <c r="A775" s="2" t="s">
        <v>21</v>
      </c>
      <c r="B775" s="2">
        <v>2.028</v>
      </c>
      <c r="C775" s="2">
        <v>3000103031</v>
      </c>
      <c r="D775" s="2">
        <v>189.9</v>
      </c>
      <c r="E775" s="2"/>
      <c r="F775" s="2">
        <v>450</v>
      </c>
      <c r="G775" s="2">
        <v>675</v>
      </c>
      <c r="H775" s="2">
        <v>5</v>
      </c>
      <c r="I775" s="2" t="s">
        <v>27</v>
      </c>
      <c r="J775" s="3">
        <f>IF(A775="Upgrade",IF(OR(H775=4,H775=5),VLOOKUP(I775,'Renewal Rates'!$A$22:$B$27,2,FALSE),2.7%),IF(A775="Renewal",100%,0%))</f>
        <v>0.116578</v>
      </c>
      <c r="K775" s="2" t="s">
        <v>22</v>
      </c>
      <c r="L775" s="2">
        <v>385</v>
      </c>
      <c r="M775" s="2" t="s">
        <v>23</v>
      </c>
      <c r="N775" s="2" t="s">
        <v>24</v>
      </c>
      <c r="O775" s="4">
        <v>725370</v>
      </c>
      <c r="P775" s="4">
        <v>3820</v>
      </c>
      <c r="Q775" s="4">
        <v>246626</v>
      </c>
      <c r="R775" s="4">
        <v>971996</v>
      </c>
      <c r="S775" s="5">
        <v>0.4</v>
      </c>
      <c r="T775" s="4">
        <v>388798</v>
      </c>
      <c r="U775" s="4">
        <v>1360794</v>
      </c>
      <c r="V775" s="6">
        <f t="shared" si="24"/>
        <v>158638.64293199999</v>
      </c>
      <c r="W775" s="6">
        <f t="shared" si="25"/>
        <v>1202155.3570679999</v>
      </c>
    </row>
    <row r="776" spans="1:23" x14ac:dyDescent="0.3">
      <c r="A776" s="2" t="s">
        <v>21</v>
      </c>
      <c r="B776" s="2">
        <v>2.028</v>
      </c>
      <c r="C776" s="2">
        <v>2000136008</v>
      </c>
      <c r="D776" s="2">
        <v>9.6999999999999993</v>
      </c>
      <c r="E776" s="2"/>
      <c r="F776" s="2">
        <v>525</v>
      </c>
      <c r="G776" s="2">
        <v>675</v>
      </c>
      <c r="H776" s="2">
        <v>5</v>
      </c>
      <c r="I776" s="2">
        <v>1</v>
      </c>
      <c r="J776" s="3">
        <f>IF(A776="Upgrade",IF(OR(H776=4,H776=5),VLOOKUP(I776,'Renewal Rates'!$A$22:$B$27,2,FALSE),2.7%),IF(A776="Renewal",100%,0%))</f>
        <v>0</v>
      </c>
      <c r="K776" s="2" t="s">
        <v>22</v>
      </c>
      <c r="L776" s="2">
        <v>385</v>
      </c>
      <c r="M776" s="2" t="s">
        <v>23</v>
      </c>
      <c r="N776" s="2" t="s">
        <v>24</v>
      </c>
      <c r="O776" s="4">
        <v>61637</v>
      </c>
      <c r="P776" s="4">
        <v>6344</v>
      </c>
      <c r="Q776" s="4">
        <v>20957</v>
      </c>
      <c r="R776" s="4">
        <v>82594</v>
      </c>
      <c r="S776" s="5">
        <v>0.4</v>
      </c>
      <c r="T776" s="4">
        <v>33038</v>
      </c>
      <c r="U776" s="4">
        <v>115631</v>
      </c>
      <c r="V776" s="6">
        <f t="shared" si="24"/>
        <v>0</v>
      </c>
      <c r="W776" s="6">
        <f t="shared" si="25"/>
        <v>115631</v>
      </c>
    </row>
    <row r="777" spans="1:23" x14ac:dyDescent="0.3">
      <c r="A777" s="2" t="s">
        <v>21</v>
      </c>
      <c r="B777" s="2">
        <v>2.028</v>
      </c>
      <c r="C777" s="2">
        <v>2000689836</v>
      </c>
      <c r="D777" s="2">
        <v>45.8</v>
      </c>
      <c r="E777" s="2"/>
      <c r="F777" s="2">
        <v>450</v>
      </c>
      <c r="G777" s="2">
        <v>675</v>
      </c>
      <c r="H777" s="2">
        <v>4</v>
      </c>
      <c r="I777" s="2">
        <v>1</v>
      </c>
      <c r="J777" s="3">
        <f>IF(A777="Upgrade",IF(OR(H777=4,H777=5),VLOOKUP(I777,'Renewal Rates'!$A$22:$B$27,2,FALSE),2.7%),IF(A777="Renewal",100%,0%))</f>
        <v>0</v>
      </c>
      <c r="K777" s="2" t="s">
        <v>22</v>
      </c>
      <c r="L777" s="2">
        <v>385</v>
      </c>
      <c r="M777" s="2" t="s">
        <v>23</v>
      </c>
      <c r="N777" s="2" t="s">
        <v>24</v>
      </c>
      <c r="O777" s="4">
        <v>182510</v>
      </c>
      <c r="P777" s="4">
        <v>3989</v>
      </c>
      <c r="Q777" s="4">
        <v>62053</v>
      </c>
      <c r="R777" s="4">
        <v>244563</v>
      </c>
      <c r="S777" s="5">
        <v>0.4</v>
      </c>
      <c r="T777" s="4">
        <v>97825</v>
      </c>
      <c r="U777" s="4">
        <v>342388</v>
      </c>
      <c r="V777" s="6">
        <f t="shared" si="24"/>
        <v>0</v>
      </c>
      <c r="W777" s="6">
        <f t="shared" si="25"/>
        <v>342388</v>
      </c>
    </row>
    <row r="778" spans="1:23" x14ac:dyDescent="0.3">
      <c r="A778" s="2" t="s">
        <v>21</v>
      </c>
      <c r="B778" s="2">
        <v>2.0019999999999998</v>
      </c>
      <c r="C778" s="2">
        <v>2000532271</v>
      </c>
      <c r="D778" s="2">
        <v>100.4</v>
      </c>
      <c r="E778" s="2"/>
      <c r="F778" s="2">
        <v>600</v>
      </c>
      <c r="G778" s="2">
        <v>1275</v>
      </c>
      <c r="H778" s="2">
        <v>5</v>
      </c>
      <c r="I778" s="2">
        <v>2</v>
      </c>
      <c r="J778" s="3">
        <f>IF(A778="Upgrade",IF(OR(H778=4,H778=5),VLOOKUP(I778,'Renewal Rates'!$A$22:$B$27,2,FALSE),2.7%),IF(A778="Renewal",100%,0%))</f>
        <v>0</v>
      </c>
      <c r="K778" s="2" t="s">
        <v>22</v>
      </c>
      <c r="L778" s="2">
        <v>385</v>
      </c>
      <c r="M778" s="2" t="s">
        <v>23</v>
      </c>
      <c r="N778" s="2" t="s">
        <v>24</v>
      </c>
      <c r="O778" s="4">
        <v>684306</v>
      </c>
      <c r="P778" s="4">
        <v>6813</v>
      </c>
      <c r="Q778" s="4">
        <v>232664</v>
      </c>
      <c r="R778" s="4">
        <v>916969</v>
      </c>
      <c r="S778" s="5">
        <v>0.4</v>
      </c>
      <c r="T778" s="4">
        <v>366788</v>
      </c>
      <c r="U778" s="4">
        <v>1283757</v>
      </c>
      <c r="V778" s="6">
        <f t="shared" si="24"/>
        <v>0</v>
      </c>
      <c r="W778" s="6">
        <f t="shared" si="25"/>
        <v>1283757</v>
      </c>
    </row>
    <row r="779" spans="1:23" x14ac:dyDescent="0.3">
      <c r="A779" s="2" t="s">
        <v>21</v>
      </c>
      <c r="B779" s="2">
        <v>2.0019999999999998</v>
      </c>
      <c r="C779" s="2">
        <v>2000351679</v>
      </c>
      <c r="D779" s="2">
        <v>262.7</v>
      </c>
      <c r="E779" s="2"/>
      <c r="F779" s="2">
        <v>600</v>
      </c>
      <c r="G779" s="2">
        <v>1275</v>
      </c>
      <c r="H779" s="2"/>
      <c r="I779" s="2"/>
      <c r="J779" s="3">
        <f>IF(A779="Upgrade",IF(OR(H779=4,H779=5),VLOOKUP(I779,'Renewal Rates'!$A$22:$B$27,2,FALSE),2.7%),IF(A779="Renewal",100%,0%))</f>
        <v>2.7000000000000003E-2</v>
      </c>
      <c r="K779" s="2" t="s">
        <v>22</v>
      </c>
      <c r="L779" s="2">
        <v>385</v>
      </c>
      <c r="M779" s="2" t="s">
        <v>23</v>
      </c>
      <c r="N779" s="2" t="s">
        <v>24</v>
      </c>
      <c r="O779" s="4">
        <v>1768934</v>
      </c>
      <c r="P779" s="4">
        <v>6734</v>
      </c>
      <c r="Q779" s="4">
        <v>601438</v>
      </c>
      <c r="R779" s="4">
        <v>2370372</v>
      </c>
      <c r="S779" s="5">
        <v>0.4</v>
      </c>
      <c r="T779" s="4">
        <v>948149</v>
      </c>
      <c r="U779" s="4">
        <v>3318521</v>
      </c>
      <c r="V779" s="6">
        <f t="shared" si="24"/>
        <v>89600.06700000001</v>
      </c>
      <c r="W779" s="6">
        <f t="shared" si="25"/>
        <v>3228920.9330000002</v>
      </c>
    </row>
    <row r="780" spans="1:23" x14ac:dyDescent="0.3">
      <c r="A780" s="2" t="s">
        <v>21</v>
      </c>
      <c r="B780" s="2">
        <v>2.0019999999999998</v>
      </c>
      <c r="C780" s="2">
        <v>2000674144</v>
      </c>
      <c r="D780" s="2">
        <v>41.2</v>
      </c>
      <c r="E780" s="2"/>
      <c r="F780" s="2">
        <v>600</v>
      </c>
      <c r="G780" s="2">
        <v>1275</v>
      </c>
      <c r="H780" s="2">
        <v>5</v>
      </c>
      <c r="I780" s="2">
        <v>2</v>
      </c>
      <c r="J780" s="3">
        <f>IF(A780="Upgrade",IF(OR(H780=4,H780=5),VLOOKUP(I780,'Renewal Rates'!$A$22:$B$27,2,FALSE),2.7%),IF(A780="Renewal",100%,0%))</f>
        <v>0</v>
      </c>
      <c r="K780" s="2" t="s">
        <v>22</v>
      </c>
      <c r="L780" s="2">
        <v>385</v>
      </c>
      <c r="M780" s="2" t="s">
        <v>23</v>
      </c>
      <c r="N780" s="2" t="s">
        <v>24</v>
      </c>
      <c r="O780" s="4">
        <v>289090</v>
      </c>
      <c r="P780" s="4">
        <v>7024</v>
      </c>
      <c r="Q780" s="4">
        <v>98291</v>
      </c>
      <c r="R780" s="4">
        <v>387381</v>
      </c>
      <c r="S780" s="5">
        <v>0.4</v>
      </c>
      <c r="T780" s="4">
        <v>154952</v>
      </c>
      <c r="U780" s="4">
        <v>542333</v>
      </c>
      <c r="V780" s="6">
        <f t="shared" si="24"/>
        <v>0</v>
      </c>
      <c r="W780" s="6">
        <f t="shared" si="25"/>
        <v>542333</v>
      </c>
    </row>
    <row r="781" spans="1:23" x14ac:dyDescent="0.3">
      <c r="A781" s="2" t="s">
        <v>25</v>
      </c>
      <c r="B781" s="2">
        <v>2.0550000000000002</v>
      </c>
      <c r="C781" s="2"/>
      <c r="D781" s="2"/>
      <c r="E781" s="2">
        <v>289.2</v>
      </c>
      <c r="F781" s="2"/>
      <c r="G781" s="2">
        <v>1125</v>
      </c>
      <c r="H781" s="2"/>
      <c r="I781" s="2"/>
      <c r="J781" s="3">
        <f>IF(A781="Upgrade",IF(OR(H781=4,H781=5),VLOOKUP(I781,'Renewal Rates'!$A$22:$B$27,2,FALSE),2.7%),IF(A781="Renewal",100%,0%))</f>
        <v>0</v>
      </c>
      <c r="K781" s="2" t="s">
        <v>22</v>
      </c>
      <c r="L781" s="2">
        <v>385</v>
      </c>
      <c r="M781" s="2" t="s">
        <v>23</v>
      </c>
      <c r="N781" s="2" t="s">
        <v>24</v>
      </c>
      <c r="O781" s="4">
        <v>1932089</v>
      </c>
      <c r="P781" s="4">
        <v>6681</v>
      </c>
      <c r="Q781" s="4">
        <v>656910</v>
      </c>
      <c r="R781" s="4">
        <v>2588999</v>
      </c>
      <c r="S781" s="5">
        <v>0.4</v>
      </c>
      <c r="T781" s="4">
        <v>1035600</v>
      </c>
      <c r="U781" s="4">
        <v>3624599</v>
      </c>
      <c r="V781" s="6">
        <f t="shared" si="24"/>
        <v>0</v>
      </c>
      <c r="W781" s="6">
        <f t="shared" si="25"/>
        <v>3624599</v>
      </c>
    </row>
    <row r="782" spans="1:23" x14ac:dyDescent="0.3">
      <c r="A782" s="2" t="s">
        <v>25</v>
      </c>
      <c r="B782" s="2">
        <v>2.056</v>
      </c>
      <c r="C782" s="2"/>
      <c r="D782" s="2"/>
      <c r="E782" s="2">
        <v>66.8</v>
      </c>
      <c r="F782" s="2"/>
      <c r="G782" s="2">
        <v>375</v>
      </c>
      <c r="H782" s="2"/>
      <c r="I782" s="2"/>
      <c r="J782" s="3">
        <f>IF(A782="Upgrade",IF(OR(H782=4,H782=5),VLOOKUP(I782,'Renewal Rates'!$A$22:$B$27,2,FALSE),2.7%),IF(A782="Renewal",100%,0%))</f>
        <v>0</v>
      </c>
      <c r="K782" s="2" t="s">
        <v>22</v>
      </c>
      <c r="L782" s="2">
        <v>385</v>
      </c>
      <c r="M782" s="2" t="s">
        <v>23</v>
      </c>
      <c r="N782" s="2" t="s">
        <v>24</v>
      </c>
      <c r="O782" s="4">
        <v>156904</v>
      </c>
      <c r="P782" s="4">
        <v>2349</v>
      </c>
      <c r="Q782" s="4">
        <v>53347</v>
      </c>
      <c r="R782" s="4">
        <v>210252</v>
      </c>
      <c r="S782" s="5">
        <v>0.4</v>
      </c>
      <c r="T782" s="4">
        <v>84101</v>
      </c>
      <c r="U782" s="4">
        <v>294353</v>
      </c>
      <c r="V782" s="6">
        <f t="shared" si="24"/>
        <v>0</v>
      </c>
      <c r="W782" s="6">
        <f t="shared" si="25"/>
        <v>294353</v>
      </c>
    </row>
    <row r="783" spans="1:23" x14ac:dyDescent="0.3">
      <c r="A783" s="2" t="s">
        <v>25</v>
      </c>
      <c r="B783" s="2">
        <v>2.052</v>
      </c>
      <c r="C783" s="2"/>
      <c r="D783" s="2"/>
      <c r="E783" s="2">
        <v>166.4</v>
      </c>
      <c r="F783" s="2"/>
      <c r="G783" s="2">
        <v>750</v>
      </c>
      <c r="H783" s="2"/>
      <c r="I783" s="2"/>
      <c r="J783" s="3">
        <f>IF(A783="Upgrade",IF(OR(H783=4,H783=5),VLOOKUP(I783,'Renewal Rates'!$A$22:$B$27,2,FALSE),2.7%),IF(A783="Renewal",100%,0%))</f>
        <v>0</v>
      </c>
      <c r="K783" s="2" t="s">
        <v>22</v>
      </c>
      <c r="L783" s="2">
        <v>386</v>
      </c>
      <c r="M783" s="2" t="s">
        <v>23</v>
      </c>
      <c r="N783" s="2" t="s">
        <v>24</v>
      </c>
      <c r="O783" s="4">
        <v>679784</v>
      </c>
      <c r="P783" s="4">
        <v>4084</v>
      </c>
      <c r="Q783" s="4">
        <v>231127</v>
      </c>
      <c r="R783" s="4">
        <v>910911</v>
      </c>
      <c r="S783" s="5">
        <v>0.4</v>
      </c>
      <c r="T783" s="4">
        <v>364364</v>
      </c>
      <c r="U783" s="4">
        <v>1275275</v>
      </c>
      <c r="V783" s="6">
        <f t="shared" si="24"/>
        <v>0</v>
      </c>
      <c r="W783" s="6">
        <f t="shared" si="25"/>
        <v>1275275</v>
      </c>
    </row>
    <row r="784" spans="1:23" x14ac:dyDescent="0.3">
      <c r="A784" s="2" t="s">
        <v>21</v>
      </c>
      <c r="B784" s="2">
        <v>2.0339999999999998</v>
      </c>
      <c r="C784" s="2">
        <v>2000591373</v>
      </c>
      <c r="D784" s="2">
        <v>45.4</v>
      </c>
      <c r="E784" s="2"/>
      <c r="F784" s="2">
        <v>150</v>
      </c>
      <c r="G784" s="2">
        <v>525</v>
      </c>
      <c r="H784" s="2"/>
      <c r="I784" s="2"/>
      <c r="J784" s="3">
        <f>IF(A784="Upgrade",IF(OR(H784=4,H784=5),VLOOKUP(I784,'Renewal Rates'!$A$22:$B$27,2,FALSE),2.7%),IF(A784="Renewal",100%,0%))</f>
        <v>2.7000000000000003E-2</v>
      </c>
      <c r="K784" s="2" t="s">
        <v>22</v>
      </c>
      <c r="L784" s="2">
        <v>385</v>
      </c>
      <c r="M784" s="2" t="s">
        <v>23</v>
      </c>
      <c r="N784" s="2" t="s">
        <v>24</v>
      </c>
      <c r="O784" s="4">
        <v>141905</v>
      </c>
      <c r="P784" s="4">
        <v>3123</v>
      </c>
      <c r="Q784" s="4">
        <v>48248</v>
      </c>
      <c r="R784" s="4">
        <v>190153</v>
      </c>
      <c r="S784" s="5">
        <v>0.4</v>
      </c>
      <c r="T784" s="4">
        <v>76061</v>
      </c>
      <c r="U784" s="4">
        <v>266214</v>
      </c>
      <c r="V784" s="6">
        <f t="shared" si="24"/>
        <v>7187.7780000000012</v>
      </c>
      <c r="W784" s="6">
        <f t="shared" si="25"/>
        <v>259026.22200000001</v>
      </c>
    </row>
    <row r="785" spans="1:23" x14ac:dyDescent="0.3">
      <c r="A785" s="2" t="s">
        <v>25</v>
      </c>
      <c r="B785" s="2">
        <v>2.0569999999999999</v>
      </c>
      <c r="C785" s="2"/>
      <c r="D785" s="2"/>
      <c r="E785" s="2">
        <v>36.299999999999997</v>
      </c>
      <c r="F785" s="2"/>
      <c r="G785" s="2">
        <v>375</v>
      </c>
      <c r="H785" s="2"/>
      <c r="I785" s="2"/>
      <c r="J785" s="3">
        <f>IF(A785="Upgrade",IF(OR(H785=4,H785=5),VLOOKUP(I785,'Renewal Rates'!$A$22:$B$27,2,FALSE),2.7%),IF(A785="Renewal",100%,0%))</f>
        <v>0</v>
      </c>
      <c r="K785" s="2" t="s">
        <v>22</v>
      </c>
      <c r="L785" s="2">
        <v>385</v>
      </c>
      <c r="M785" s="2" t="s">
        <v>23</v>
      </c>
      <c r="N785" s="2" t="s">
        <v>24</v>
      </c>
      <c r="O785" s="4">
        <v>90964</v>
      </c>
      <c r="P785" s="4">
        <v>2505</v>
      </c>
      <c r="Q785" s="4">
        <v>30928</v>
      </c>
      <c r="R785" s="4">
        <v>121891</v>
      </c>
      <c r="S785" s="5">
        <v>0.4</v>
      </c>
      <c r="T785" s="4">
        <v>48756</v>
      </c>
      <c r="U785" s="4">
        <v>170648</v>
      </c>
      <c r="V785" s="6">
        <f t="shared" si="24"/>
        <v>0</v>
      </c>
      <c r="W785" s="6">
        <f t="shared" si="25"/>
        <v>170648</v>
      </c>
    </row>
    <row r="786" spans="1:23" x14ac:dyDescent="0.3">
      <c r="A786" s="2" t="s">
        <v>21</v>
      </c>
      <c r="B786" s="2">
        <v>2.0529999999999999</v>
      </c>
      <c r="C786" s="2">
        <v>2000049586</v>
      </c>
      <c r="D786" s="2">
        <v>37.5</v>
      </c>
      <c r="E786" s="2"/>
      <c r="F786" s="2">
        <v>300</v>
      </c>
      <c r="G786" s="2">
        <v>900</v>
      </c>
      <c r="H786" s="2"/>
      <c r="I786" s="2"/>
      <c r="J786" s="3">
        <f>IF(A786="Upgrade",IF(OR(H786=4,H786=5),VLOOKUP(I786,'Renewal Rates'!$A$22:$B$27,2,FALSE),2.7%),IF(A786="Renewal",100%,0%))</f>
        <v>2.7000000000000003E-2</v>
      </c>
      <c r="K786" s="2" t="s">
        <v>22</v>
      </c>
      <c r="L786" s="2">
        <v>386</v>
      </c>
      <c r="M786" s="2" t="s">
        <v>23</v>
      </c>
      <c r="N786" s="2" t="s">
        <v>24</v>
      </c>
      <c r="O786" s="4">
        <v>205938</v>
      </c>
      <c r="P786" s="4">
        <v>5493</v>
      </c>
      <c r="Q786" s="4">
        <v>70019</v>
      </c>
      <c r="R786" s="4">
        <v>275957</v>
      </c>
      <c r="S786" s="5">
        <v>0.4</v>
      </c>
      <c r="T786" s="4">
        <v>110383</v>
      </c>
      <c r="U786" s="4">
        <v>386340</v>
      </c>
      <c r="V786" s="6">
        <f t="shared" si="24"/>
        <v>10431.180000000002</v>
      </c>
      <c r="W786" s="6">
        <f t="shared" si="25"/>
        <v>375908.82</v>
      </c>
    </row>
    <row r="787" spans="1:23" x14ac:dyDescent="0.3">
      <c r="A787" s="2" t="s">
        <v>21</v>
      </c>
      <c r="B787" s="2">
        <v>2.0529999999999999</v>
      </c>
      <c r="C787" s="2">
        <v>2000415719</v>
      </c>
      <c r="D787" s="2">
        <v>24.6</v>
      </c>
      <c r="E787" s="2"/>
      <c r="F787" s="2">
        <v>300</v>
      </c>
      <c r="G787" s="2">
        <v>900</v>
      </c>
      <c r="H787" s="2"/>
      <c r="I787" s="2"/>
      <c r="J787" s="3">
        <f>IF(A787="Upgrade",IF(OR(H787=4,H787=5),VLOOKUP(I787,'Renewal Rates'!$A$22:$B$27,2,FALSE),2.7%),IF(A787="Renewal",100%,0%))</f>
        <v>2.7000000000000003E-2</v>
      </c>
      <c r="K787" s="2" t="s">
        <v>22</v>
      </c>
      <c r="L787" s="2">
        <v>386</v>
      </c>
      <c r="M787" s="2" t="s">
        <v>23</v>
      </c>
      <c r="N787" s="2" t="s">
        <v>24</v>
      </c>
      <c r="O787" s="4">
        <v>161458</v>
      </c>
      <c r="P787" s="4">
        <v>6566</v>
      </c>
      <c r="Q787" s="4">
        <v>54896</v>
      </c>
      <c r="R787" s="4">
        <v>216354</v>
      </c>
      <c r="S787" s="5">
        <v>0.4</v>
      </c>
      <c r="T787" s="4">
        <v>86542</v>
      </c>
      <c r="U787" s="4">
        <v>302896</v>
      </c>
      <c r="V787" s="6">
        <f t="shared" si="24"/>
        <v>8178.1920000000009</v>
      </c>
      <c r="W787" s="6">
        <f t="shared" si="25"/>
        <v>294717.80800000002</v>
      </c>
    </row>
    <row r="788" spans="1:23" x14ac:dyDescent="0.3">
      <c r="A788" s="2" t="s">
        <v>21</v>
      </c>
      <c r="B788" s="2">
        <v>2.0529999999999999</v>
      </c>
      <c r="C788" s="2">
        <v>2000136540</v>
      </c>
      <c r="D788" s="2">
        <v>35.1</v>
      </c>
      <c r="E788" s="2"/>
      <c r="F788" s="2">
        <v>600</v>
      </c>
      <c r="G788" s="2">
        <v>900</v>
      </c>
      <c r="H788" s="2">
        <v>4</v>
      </c>
      <c r="I788" s="2">
        <v>1</v>
      </c>
      <c r="J788" s="3">
        <f>IF(A788="Upgrade",IF(OR(H788=4,H788=5),VLOOKUP(I788,'Renewal Rates'!$A$22:$B$27,2,FALSE),2.7%),IF(A788="Renewal",100%,0%))</f>
        <v>0</v>
      </c>
      <c r="K788" s="2" t="s">
        <v>22</v>
      </c>
      <c r="L788" s="2">
        <v>386</v>
      </c>
      <c r="M788" s="2" t="s">
        <v>23</v>
      </c>
      <c r="N788" s="2" t="s">
        <v>24</v>
      </c>
      <c r="O788" s="4">
        <v>201923</v>
      </c>
      <c r="P788" s="4">
        <v>5751</v>
      </c>
      <c r="Q788" s="4">
        <v>68654</v>
      </c>
      <c r="R788" s="4">
        <v>270576</v>
      </c>
      <c r="S788" s="5">
        <v>0.4</v>
      </c>
      <c r="T788" s="4">
        <v>108231</v>
      </c>
      <c r="U788" s="4">
        <v>378807</v>
      </c>
      <c r="V788" s="6">
        <f t="shared" si="24"/>
        <v>0</v>
      </c>
      <c r="W788" s="6">
        <f t="shared" si="25"/>
        <v>378807</v>
      </c>
    </row>
    <row r="789" spans="1:23" x14ac:dyDescent="0.3">
      <c r="A789" s="2" t="s">
        <v>21</v>
      </c>
      <c r="B789" s="2">
        <v>2.0529999999999999</v>
      </c>
      <c r="C789" s="2">
        <v>2000426665</v>
      </c>
      <c r="D789" s="2">
        <v>57.4</v>
      </c>
      <c r="E789" s="2"/>
      <c r="F789" s="2">
        <v>375</v>
      </c>
      <c r="G789" s="2">
        <v>900</v>
      </c>
      <c r="H789" s="2"/>
      <c r="I789" s="2"/>
      <c r="J789" s="3">
        <f>IF(A789="Upgrade",IF(OR(H789=4,H789=5),VLOOKUP(I789,'Renewal Rates'!$A$22:$B$27,2,FALSE),2.7%),IF(A789="Renewal",100%,0%))</f>
        <v>2.7000000000000003E-2</v>
      </c>
      <c r="K789" s="2" t="s">
        <v>22</v>
      </c>
      <c r="L789" s="2">
        <v>386</v>
      </c>
      <c r="M789" s="2" t="s">
        <v>23</v>
      </c>
      <c r="N789" s="2" t="s">
        <v>24</v>
      </c>
      <c r="O789" s="4">
        <v>331173</v>
      </c>
      <c r="P789" s="4">
        <v>5771</v>
      </c>
      <c r="Q789" s="4">
        <v>112599</v>
      </c>
      <c r="R789" s="4">
        <v>443772</v>
      </c>
      <c r="S789" s="5">
        <v>0.4</v>
      </c>
      <c r="T789" s="4">
        <v>177509</v>
      </c>
      <c r="U789" s="4">
        <v>621280</v>
      </c>
      <c r="V789" s="6">
        <f t="shared" si="24"/>
        <v>16774.560000000001</v>
      </c>
      <c r="W789" s="6">
        <f t="shared" si="25"/>
        <v>604505.43999999994</v>
      </c>
    </row>
    <row r="790" spans="1:23" x14ac:dyDescent="0.3">
      <c r="A790" s="2" t="s">
        <v>21</v>
      </c>
      <c r="B790" s="2">
        <v>2.0529999999999999</v>
      </c>
      <c r="C790" s="2">
        <v>3000109318</v>
      </c>
      <c r="D790" s="2">
        <v>9.3000000000000007</v>
      </c>
      <c r="E790" s="2"/>
      <c r="F790" s="2">
        <v>375</v>
      </c>
      <c r="G790" s="2">
        <v>900</v>
      </c>
      <c r="H790" s="2"/>
      <c r="I790" s="2"/>
      <c r="J790" s="3">
        <f>IF(A790="Upgrade",IF(OR(H790=4,H790=5),VLOOKUP(I790,'Renewal Rates'!$A$22:$B$27,2,FALSE),2.7%),IF(A790="Renewal",100%,0%))</f>
        <v>2.7000000000000003E-2</v>
      </c>
      <c r="K790" s="2" t="s">
        <v>22</v>
      </c>
      <c r="L790" s="2">
        <v>386</v>
      </c>
      <c r="M790" s="2" t="s">
        <v>23</v>
      </c>
      <c r="N790" s="2" t="s">
        <v>24</v>
      </c>
      <c r="O790" s="4">
        <v>90315</v>
      </c>
      <c r="P790" s="4">
        <v>9677</v>
      </c>
      <c r="Q790" s="4">
        <v>30707</v>
      </c>
      <c r="R790" s="4">
        <v>121022</v>
      </c>
      <c r="S790" s="5">
        <v>0.4</v>
      </c>
      <c r="T790" s="4">
        <v>48409</v>
      </c>
      <c r="U790" s="4">
        <v>169430</v>
      </c>
      <c r="V790" s="6">
        <f t="shared" si="24"/>
        <v>4574.6100000000006</v>
      </c>
      <c r="W790" s="6">
        <f t="shared" si="25"/>
        <v>164855.39000000001</v>
      </c>
    </row>
    <row r="791" spans="1:23" x14ac:dyDescent="0.3">
      <c r="A791" s="2" t="s">
        <v>21</v>
      </c>
      <c r="B791" s="2">
        <v>2.0539999999999998</v>
      </c>
      <c r="C791" s="2">
        <v>2000769782</v>
      </c>
      <c r="D791" s="2">
        <v>2.7</v>
      </c>
      <c r="E791" s="2"/>
      <c r="F791" s="2">
        <v>600</v>
      </c>
      <c r="G791" s="2">
        <v>600</v>
      </c>
      <c r="H791" s="2">
        <v>4</v>
      </c>
      <c r="I791" s="2">
        <v>1</v>
      </c>
      <c r="J791" s="3">
        <f>IF(A791="Upgrade",IF(OR(H791=4,H791=5),VLOOKUP(I791,'Renewal Rates'!$A$22:$B$27,2,FALSE),2.7%),IF(A791="Renewal",100%,0%))</f>
        <v>0</v>
      </c>
      <c r="K791" s="2" t="s">
        <v>22</v>
      </c>
      <c r="L791" s="2">
        <v>386</v>
      </c>
      <c r="M791" s="2" t="s">
        <v>23</v>
      </c>
      <c r="N791" s="2" t="s">
        <v>24</v>
      </c>
      <c r="O791" s="4">
        <v>46263</v>
      </c>
      <c r="P791" s="4">
        <v>17067</v>
      </c>
      <c r="Q791" s="4">
        <v>15729</v>
      </c>
      <c r="R791" s="4">
        <v>61992</v>
      </c>
      <c r="S791" s="5">
        <v>0.4</v>
      </c>
      <c r="T791" s="4">
        <v>24797</v>
      </c>
      <c r="U791" s="4">
        <v>86789</v>
      </c>
      <c r="V791" s="6">
        <f t="shared" si="24"/>
        <v>0</v>
      </c>
      <c r="W791" s="6">
        <f t="shared" si="25"/>
        <v>86789</v>
      </c>
    </row>
    <row r="792" spans="1:23" x14ac:dyDescent="0.3">
      <c r="A792" s="2" t="s">
        <v>21</v>
      </c>
      <c r="B792" s="2">
        <v>2.0539999999999998</v>
      </c>
      <c r="C792" s="2">
        <v>2000475435</v>
      </c>
      <c r="D792" s="2">
        <v>10.3</v>
      </c>
      <c r="E792" s="2"/>
      <c r="F792" s="2">
        <v>600</v>
      </c>
      <c r="G792" s="2">
        <v>600</v>
      </c>
      <c r="H792" s="2"/>
      <c r="I792" s="2"/>
      <c r="J792" s="3">
        <f>IF(A792="Upgrade",IF(OR(H792=4,H792=5),VLOOKUP(I792,'Renewal Rates'!$A$22:$B$27,2,FALSE),2.7%),IF(A792="Renewal",100%,0%))</f>
        <v>2.7000000000000003E-2</v>
      </c>
      <c r="K792" s="2" t="s">
        <v>22</v>
      </c>
      <c r="L792" s="2">
        <v>386</v>
      </c>
      <c r="M792" s="2" t="s">
        <v>23</v>
      </c>
      <c r="N792" s="2" t="s">
        <v>24</v>
      </c>
      <c r="O792" s="4">
        <v>37685</v>
      </c>
      <c r="P792" s="4">
        <v>3675</v>
      </c>
      <c r="Q792" s="4">
        <v>12813</v>
      </c>
      <c r="R792" s="4">
        <v>50498</v>
      </c>
      <c r="S792" s="5">
        <v>0.4</v>
      </c>
      <c r="T792" s="4">
        <v>20199</v>
      </c>
      <c r="U792" s="4">
        <v>70697</v>
      </c>
      <c r="V792" s="6">
        <f t="shared" si="24"/>
        <v>1908.8190000000002</v>
      </c>
      <c r="W792" s="6">
        <f t="shared" si="25"/>
        <v>68788.180999999997</v>
      </c>
    </row>
    <row r="793" spans="1:23" x14ac:dyDescent="0.3">
      <c r="A793" s="2" t="s">
        <v>21</v>
      </c>
      <c r="B793" s="2">
        <v>2.0539999999999998</v>
      </c>
      <c r="C793" s="2">
        <v>2000969415</v>
      </c>
      <c r="D793" s="2">
        <v>3.1</v>
      </c>
      <c r="E793" s="2"/>
      <c r="F793" s="2">
        <v>600</v>
      </c>
      <c r="G793" s="2">
        <v>600</v>
      </c>
      <c r="H793" s="2"/>
      <c r="I793" s="2"/>
      <c r="J793" s="3">
        <f>IF(A793="Upgrade",IF(OR(H793=4,H793=5),VLOOKUP(I793,'Renewal Rates'!$A$22:$B$27,2,FALSE),2.7%),IF(A793="Renewal",100%,0%))</f>
        <v>2.7000000000000003E-2</v>
      </c>
      <c r="K793" s="2" t="s">
        <v>22</v>
      </c>
      <c r="L793" s="2">
        <v>386</v>
      </c>
      <c r="M793" s="2" t="s">
        <v>23</v>
      </c>
      <c r="N793" s="2" t="s">
        <v>24</v>
      </c>
      <c r="O793" s="4">
        <v>30241</v>
      </c>
      <c r="P793" s="4">
        <v>9891</v>
      </c>
      <c r="Q793" s="4">
        <v>10282</v>
      </c>
      <c r="R793" s="4">
        <v>40524</v>
      </c>
      <c r="S793" s="5">
        <v>0.4</v>
      </c>
      <c r="T793" s="4">
        <v>16209</v>
      </c>
      <c r="U793" s="4">
        <v>56733</v>
      </c>
      <c r="V793" s="6">
        <f t="shared" si="24"/>
        <v>1531.7910000000002</v>
      </c>
      <c r="W793" s="6">
        <f t="shared" si="25"/>
        <v>55201.209000000003</v>
      </c>
    </row>
    <row r="794" spans="1:23" x14ac:dyDescent="0.3">
      <c r="A794" s="2" t="s">
        <v>21</v>
      </c>
      <c r="B794" s="2">
        <v>2.0539999999999998</v>
      </c>
      <c r="C794" s="2">
        <v>3000173409</v>
      </c>
      <c r="D794" s="2">
        <v>5.0999999999999996</v>
      </c>
      <c r="E794" s="2"/>
      <c r="F794" s="2">
        <v>600</v>
      </c>
      <c r="G794" s="2">
        <v>600</v>
      </c>
      <c r="H794" s="2">
        <v>5</v>
      </c>
      <c r="I794" s="2" t="s">
        <v>27</v>
      </c>
      <c r="J794" s="3">
        <f>IF(A794="Upgrade",IF(OR(H794=4,H794=5),VLOOKUP(I794,'Renewal Rates'!$A$22:$B$27,2,FALSE),2.7%),IF(A794="Renewal",100%,0%))</f>
        <v>0.116578</v>
      </c>
      <c r="K794" s="2" t="s">
        <v>22</v>
      </c>
      <c r="L794" s="2">
        <v>386</v>
      </c>
      <c r="M794" s="2" t="s">
        <v>23</v>
      </c>
      <c r="N794" s="2" t="s">
        <v>24</v>
      </c>
      <c r="O794" s="4">
        <v>48761</v>
      </c>
      <c r="P794" s="4">
        <v>9511</v>
      </c>
      <c r="Q794" s="4">
        <v>16579</v>
      </c>
      <c r="R794" s="4">
        <v>65340</v>
      </c>
      <c r="S794" s="5">
        <v>0.4</v>
      </c>
      <c r="T794" s="4">
        <v>26136</v>
      </c>
      <c r="U794" s="4">
        <v>91476</v>
      </c>
      <c r="V794" s="6">
        <f t="shared" si="24"/>
        <v>10664.089128</v>
      </c>
      <c r="W794" s="6">
        <f t="shared" si="25"/>
        <v>80811.910872000008</v>
      </c>
    </row>
    <row r="795" spans="1:23" x14ac:dyDescent="0.3">
      <c r="A795" s="2" t="s">
        <v>21</v>
      </c>
      <c r="B795" s="2">
        <v>2.0539999999999998</v>
      </c>
      <c r="C795" s="2">
        <v>2000228684</v>
      </c>
      <c r="D795" s="2">
        <v>27</v>
      </c>
      <c r="E795" s="2"/>
      <c r="F795" s="2">
        <v>600</v>
      </c>
      <c r="G795" s="2">
        <v>600</v>
      </c>
      <c r="H795" s="2"/>
      <c r="I795" s="2"/>
      <c r="J795" s="3">
        <f>IF(A795="Upgrade",IF(OR(H795=4,H795=5),VLOOKUP(I795,'Renewal Rates'!$A$22:$B$27,2,FALSE),2.7%),IF(A795="Renewal",100%,0%))</f>
        <v>2.7000000000000003E-2</v>
      </c>
      <c r="K795" s="2" t="s">
        <v>22</v>
      </c>
      <c r="L795" s="2">
        <v>386</v>
      </c>
      <c r="M795" s="2" t="s">
        <v>23</v>
      </c>
      <c r="N795" s="2" t="s">
        <v>24</v>
      </c>
      <c r="O795" s="4">
        <v>110231</v>
      </c>
      <c r="P795" s="4">
        <v>4087</v>
      </c>
      <c r="Q795" s="4">
        <v>37479</v>
      </c>
      <c r="R795" s="4">
        <v>147709</v>
      </c>
      <c r="S795" s="5">
        <v>0.4</v>
      </c>
      <c r="T795" s="4">
        <v>59084</v>
      </c>
      <c r="U795" s="4">
        <v>206793</v>
      </c>
      <c r="V795" s="6">
        <f t="shared" si="24"/>
        <v>5583.411000000001</v>
      </c>
      <c r="W795" s="6">
        <f t="shared" si="25"/>
        <v>201209.58900000001</v>
      </c>
    </row>
    <row r="796" spans="1:23" x14ac:dyDescent="0.3">
      <c r="A796" s="2" t="s">
        <v>25</v>
      </c>
      <c r="B796" s="2">
        <v>4.0010000000000003</v>
      </c>
      <c r="C796" s="2"/>
      <c r="D796" s="2"/>
      <c r="E796" s="2">
        <v>178.1</v>
      </c>
      <c r="F796" s="2"/>
      <c r="G796" s="2">
        <v>825</v>
      </c>
      <c r="H796" s="2"/>
      <c r="I796" s="2"/>
      <c r="J796" s="3">
        <f>IF(A796="Upgrade",IF(OR(H796=4,H796=5),VLOOKUP(I796,'Renewal Rates'!$A$22:$B$27,2,FALSE),2.7%),IF(A796="Renewal",100%,0%))</f>
        <v>0</v>
      </c>
      <c r="K796" s="2" t="s">
        <v>22</v>
      </c>
      <c r="L796" s="2">
        <v>386</v>
      </c>
      <c r="M796" s="2" t="s">
        <v>23</v>
      </c>
      <c r="N796" s="2" t="s">
        <v>24</v>
      </c>
      <c r="O796" s="4">
        <v>781296</v>
      </c>
      <c r="P796" s="4">
        <v>4387</v>
      </c>
      <c r="Q796" s="4">
        <v>265641</v>
      </c>
      <c r="R796" s="4">
        <v>1046937</v>
      </c>
      <c r="S796" s="5">
        <v>0.4</v>
      </c>
      <c r="T796" s="4">
        <v>418775</v>
      </c>
      <c r="U796" s="4">
        <v>1465711</v>
      </c>
      <c r="V796" s="6">
        <f t="shared" si="24"/>
        <v>0</v>
      </c>
      <c r="W796" s="6">
        <f t="shared" si="25"/>
        <v>1465711</v>
      </c>
    </row>
    <row r="797" spans="1:23" x14ac:dyDescent="0.3">
      <c r="A797" s="2" t="s">
        <v>21</v>
      </c>
      <c r="B797" s="2">
        <v>2.024</v>
      </c>
      <c r="C797" s="2">
        <v>3000129640</v>
      </c>
      <c r="D797" s="2">
        <v>18.5</v>
      </c>
      <c r="E797" s="2"/>
      <c r="F797" s="2">
        <v>900</v>
      </c>
      <c r="G797" s="2">
        <v>1200</v>
      </c>
      <c r="H797" s="2"/>
      <c r="I797" s="2"/>
      <c r="J797" s="3">
        <f>IF(A797="Upgrade",IF(OR(H797=4,H797=5),VLOOKUP(I797,'Renewal Rates'!$A$22:$B$27,2,FALSE),2.7%),IF(A797="Renewal",100%,0%))</f>
        <v>2.7000000000000003E-2</v>
      </c>
      <c r="K797" s="2" t="s">
        <v>22</v>
      </c>
      <c r="L797" s="2">
        <v>385</v>
      </c>
      <c r="M797" s="2" t="s">
        <v>23</v>
      </c>
      <c r="N797" s="2" t="s">
        <v>24</v>
      </c>
      <c r="O797" s="4">
        <v>216360</v>
      </c>
      <c r="P797" s="4">
        <v>11685</v>
      </c>
      <c r="Q797" s="4">
        <v>73563</v>
      </c>
      <c r="R797" s="4">
        <v>289923</v>
      </c>
      <c r="S797" s="5">
        <v>0.4</v>
      </c>
      <c r="T797" s="4">
        <v>115969</v>
      </c>
      <c r="U797" s="4">
        <v>405892</v>
      </c>
      <c r="V797" s="6">
        <f t="shared" si="24"/>
        <v>10959.084000000001</v>
      </c>
      <c r="W797" s="6">
        <f t="shared" si="25"/>
        <v>394932.91600000003</v>
      </c>
    </row>
    <row r="798" spans="1:23" x14ac:dyDescent="0.3">
      <c r="A798" s="2" t="s">
        <v>21</v>
      </c>
      <c r="B798" s="2">
        <v>2.024</v>
      </c>
      <c r="C798" s="2">
        <v>2000433840</v>
      </c>
      <c r="D798" s="2">
        <v>25</v>
      </c>
      <c r="E798" s="2"/>
      <c r="F798" s="2">
        <v>525</v>
      </c>
      <c r="G798" s="2">
        <v>1200</v>
      </c>
      <c r="H798" s="2">
        <v>4</v>
      </c>
      <c r="I798" s="2">
        <v>1</v>
      </c>
      <c r="J798" s="3">
        <f>IF(A798="Upgrade",IF(OR(H798=4,H798=5),VLOOKUP(I798,'Renewal Rates'!$A$22:$B$27,2,FALSE),2.7%),IF(A798="Renewal",100%,0%))</f>
        <v>0</v>
      </c>
      <c r="K798" s="2" t="s">
        <v>22</v>
      </c>
      <c r="L798" s="2">
        <v>385</v>
      </c>
      <c r="M798" s="2" t="s">
        <v>23</v>
      </c>
      <c r="N798" s="2" t="s">
        <v>24</v>
      </c>
      <c r="O798" s="4">
        <v>215270</v>
      </c>
      <c r="P798" s="4">
        <v>8623</v>
      </c>
      <c r="Q798" s="4">
        <v>73192</v>
      </c>
      <c r="R798" s="4">
        <v>288461</v>
      </c>
      <c r="S798" s="5">
        <v>0.4</v>
      </c>
      <c r="T798" s="4">
        <v>115384</v>
      </c>
      <c r="U798" s="4">
        <v>403846</v>
      </c>
      <c r="V798" s="6">
        <f t="shared" si="24"/>
        <v>0</v>
      </c>
      <c r="W798" s="6">
        <f t="shared" si="25"/>
        <v>403846</v>
      </c>
    </row>
    <row r="799" spans="1:23" x14ac:dyDescent="0.3">
      <c r="A799" s="2" t="s">
        <v>21</v>
      </c>
      <c r="B799" s="2">
        <v>2.024</v>
      </c>
      <c r="C799" s="2">
        <v>3000129639</v>
      </c>
      <c r="D799" s="2">
        <v>20.5</v>
      </c>
      <c r="E799" s="2"/>
      <c r="F799" s="2">
        <v>525</v>
      </c>
      <c r="G799" s="2">
        <v>1200</v>
      </c>
      <c r="H799" s="2">
        <v>4</v>
      </c>
      <c r="I799" s="2" t="s">
        <v>27</v>
      </c>
      <c r="J799" s="3">
        <f>IF(A799="Upgrade",IF(OR(H799=4,H799=5),VLOOKUP(I799,'Renewal Rates'!$A$22:$B$27,2,FALSE),2.7%),IF(A799="Renewal",100%,0%))</f>
        <v>0.116578</v>
      </c>
      <c r="K799" s="2" t="s">
        <v>22</v>
      </c>
      <c r="L799" s="2">
        <v>385</v>
      </c>
      <c r="M799" s="2" t="s">
        <v>23</v>
      </c>
      <c r="N799" s="2" t="s">
        <v>24</v>
      </c>
      <c r="O799" s="4">
        <v>181993</v>
      </c>
      <c r="P799" s="4">
        <v>8887</v>
      </c>
      <c r="Q799" s="4">
        <v>61877</v>
      </c>
      <c r="R799" s="4">
        <v>243870</v>
      </c>
      <c r="S799" s="5">
        <v>0.4</v>
      </c>
      <c r="T799" s="4">
        <v>97548</v>
      </c>
      <c r="U799" s="4">
        <v>341418</v>
      </c>
      <c r="V799" s="6">
        <f t="shared" si="24"/>
        <v>39801.827603999998</v>
      </c>
      <c r="W799" s="6">
        <f t="shared" si="25"/>
        <v>301616.17239600001</v>
      </c>
    </row>
    <row r="800" spans="1:23" x14ac:dyDescent="0.3">
      <c r="A800" s="2" t="s">
        <v>21</v>
      </c>
      <c r="B800" s="2">
        <v>3.0550000000000002</v>
      </c>
      <c r="C800" s="2">
        <v>2000517949</v>
      </c>
      <c r="D800" s="2">
        <v>41.4</v>
      </c>
      <c r="E800" s="2"/>
      <c r="F800" s="2">
        <v>225</v>
      </c>
      <c r="G800" s="2">
        <v>750</v>
      </c>
      <c r="H800" s="2">
        <v>5</v>
      </c>
      <c r="I800" s="2">
        <v>2</v>
      </c>
      <c r="J800" s="3">
        <f>IF(A800="Upgrade",IF(OR(H800=4,H800=5),VLOOKUP(I800,'Renewal Rates'!$A$22:$B$27,2,FALSE),2.7%),IF(A800="Renewal",100%,0%))</f>
        <v>0</v>
      </c>
      <c r="K800" s="2" t="s">
        <v>49</v>
      </c>
      <c r="L800" s="2">
        <v>385</v>
      </c>
      <c r="M800" s="2" t="s">
        <v>23</v>
      </c>
      <c r="N800" s="2" t="s">
        <v>24</v>
      </c>
      <c r="O800" s="4">
        <v>207043</v>
      </c>
      <c r="P800" s="4">
        <v>4996</v>
      </c>
      <c r="Q800" s="4">
        <v>70395</v>
      </c>
      <c r="R800" s="4">
        <v>277438</v>
      </c>
      <c r="S800" s="5">
        <v>0.4</v>
      </c>
      <c r="T800" s="4">
        <v>110975</v>
      </c>
      <c r="U800" s="4">
        <v>388413</v>
      </c>
      <c r="V800" s="6">
        <f t="shared" si="24"/>
        <v>0</v>
      </c>
      <c r="W800" s="6">
        <f t="shared" si="25"/>
        <v>388413</v>
      </c>
    </row>
    <row r="801" spans="1:23" x14ac:dyDescent="0.3">
      <c r="A801" s="2" t="s">
        <v>21</v>
      </c>
      <c r="B801" s="2">
        <v>3.0539999999999998</v>
      </c>
      <c r="C801" s="2">
        <v>2000920470</v>
      </c>
      <c r="D801" s="2">
        <v>14.3</v>
      </c>
      <c r="E801" s="2"/>
      <c r="F801" s="2">
        <v>225</v>
      </c>
      <c r="G801" s="2">
        <v>600</v>
      </c>
      <c r="H801" s="2"/>
      <c r="I801" s="2"/>
      <c r="J801" s="3">
        <f>IF(A801="Upgrade",IF(OR(H801=4,H801=5),VLOOKUP(I801,'Renewal Rates'!$A$22:$B$27,2,FALSE),2.7%),IF(A801="Renewal",100%,0%))</f>
        <v>2.7000000000000003E-2</v>
      </c>
      <c r="K801" s="2" t="s">
        <v>49</v>
      </c>
      <c r="L801" s="2">
        <v>385</v>
      </c>
      <c r="M801" s="2" t="s">
        <v>23</v>
      </c>
      <c r="N801" s="2" t="s">
        <v>24</v>
      </c>
      <c r="O801" s="4">
        <v>77680</v>
      </c>
      <c r="P801" s="4">
        <v>5435</v>
      </c>
      <c r="Q801" s="4">
        <v>26411</v>
      </c>
      <c r="R801" s="4">
        <v>104091</v>
      </c>
      <c r="S801" s="5">
        <v>0.4</v>
      </c>
      <c r="T801" s="4">
        <v>41636</v>
      </c>
      <c r="U801" s="4">
        <v>145727</v>
      </c>
      <c r="V801" s="6">
        <f t="shared" si="24"/>
        <v>3934.6290000000004</v>
      </c>
      <c r="W801" s="6">
        <f t="shared" si="25"/>
        <v>141792.37100000001</v>
      </c>
    </row>
    <row r="802" spans="1:23" x14ac:dyDescent="0.3">
      <c r="A802" s="2" t="s">
        <v>21</v>
      </c>
      <c r="B802" s="2">
        <v>3.0539999999999998</v>
      </c>
      <c r="C802" s="2">
        <v>2000562656</v>
      </c>
      <c r="D802" s="2">
        <v>56.6</v>
      </c>
      <c r="E802" s="2"/>
      <c r="F802" s="2">
        <v>525</v>
      </c>
      <c r="G802" s="2">
        <v>600</v>
      </c>
      <c r="H802" s="2">
        <v>4</v>
      </c>
      <c r="I802" s="2">
        <v>2</v>
      </c>
      <c r="J802" s="3">
        <f>IF(A802="Upgrade",IF(OR(H802=4,H802=5),VLOOKUP(I802,'Renewal Rates'!$A$22:$B$27,2,FALSE),2.7%),IF(A802="Renewal",100%,0%))</f>
        <v>0</v>
      </c>
      <c r="K802" s="2" t="s">
        <v>49</v>
      </c>
      <c r="L802" s="2">
        <v>385</v>
      </c>
      <c r="M802" s="2" t="s">
        <v>23</v>
      </c>
      <c r="N802" s="2" t="s">
        <v>24</v>
      </c>
      <c r="O802" s="4">
        <v>198103</v>
      </c>
      <c r="P802" s="4">
        <v>3503</v>
      </c>
      <c r="Q802" s="4">
        <v>67355</v>
      </c>
      <c r="R802" s="4">
        <v>265459</v>
      </c>
      <c r="S802" s="5">
        <v>0.4</v>
      </c>
      <c r="T802" s="4">
        <v>106183</v>
      </c>
      <c r="U802" s="4">
        <v>371642</v>
      </c>
      <c r="V802" s="6">
        <f t="shared" si="24"/>
        <v>0</v>
      </c>
      <c r="W802" s="6">
        <f t="shared" si="25"/>
        <v>371642</v>
      </c>
    </row>
    <row r="803" spans="1:23" x14ac:dyDescent="0.3">
      <c r="A803" s="2" t="s">
        <v>25</v>
      </c>
      <c r="B803" s="2">
        <v>3.0310000000000001</v>
      </c>
      <c r="C803" s="2"/>
      <c r="D803" s="2"/>
      <c r="E803" s="2">
        <v>99.1</v>
      </c>
      <c r="F803" s="2"/>
      <c r="G803" s="2">
        <v>525</v>
      </c>
      <c r="H803" s="2"/>
      <c r="I803" s="2"/>
      <c r="J803" s="3">
        <f>IF(A803="Upgrade",IF(OR(H803=4,H803=5),VLOOKUP(I803,'Renewal Rates'!$A$22:$B$27,2,FALSE),2.7%),IF(A803="Renewal",100%,0%))</f>
        <v>0</v>
      </c>
      <c r="K803" s="2" t="s">
        <v>49</v>
      </c>
      <c r="L803" s="2">
        <v>385</v>
      </c>
      <c r="M803" s="2" t="s">
        <v>23</v>
      </c>
      <c r="N803" s="2" t="s">
        <v>24</v>
      </c>
      <c r="O803" s="4">
        <v>285388</v>
      </c>
      <c r="P803" s="4">
        <v>2879</v>
      </c>
      <c r="Q803" s="4">
        <v>97032</v>
      </c>
      <c r="R803" s="4">
        <v>382420</v>
      </c>
      <c r="S803" s="5">
        <v>0.4</v>
      </c>
      <c r="T803" s="4">
        <v>152968</v>
      </c>
      <c r="U803" s="4">
        <v>535388</v>
      </c>
      <c r="V803" s="6">
        <f t="shared" si="24"/>
        <v>0</v>
      </c>
      <c r="W803" s="6">
        <f t="shared" si="25"/>
        <v>535388</v>
      </c>
    </row>
    <row r="804" spans="1:23" x14ac:dyDescent="0.3">
      <c r="A804" s="2" t="s">
        <v>25</v>
      </c>
      <c r="B804" s="2">
        <v>3.0339999999999998</v>
      </c>
      <c r="C804" s="2"/>
      <c r="D804" s="2"/>
      <c r="E804" s="2">
        <v>72.5</v>
      </c>
      <c r="F804" s="2"/>
      <c r="G804" s="2">
        <v>375</v>
      </c>
      <c r="H804" s="2"/>
      <c r="I804" s="2"/>
      <c r="J804" s="3">
        <f>IF(A804="Upgrade",IF(OR(H804=4,H804=5),VLOOKUP(I804,'Renewal Rates'!$A$22:$B$27,2,FALSE),2.7%),IF(A804="Renewal",100%,0%))</f>
        <v>0</v>
      </c>
      <c r="K804" s="2" t="s">
        <v>49</v>
      </c>
      <c r="L804" s="2">
        <v>387</v>
      </c>
      <c r="M804" s="2" t="s">
        <v>23</v>
      </c>
      <c r="N804" s="2" t="s">
        <v>24</v>
      </c>
      <c r="O804" s="4">
        <v>160069</v>
      </c>
      <c r="P804" s="4">
        <v>2207</v>
      </c>
      <c r="Q804" s="4">
        <v>54423</v>
      </c>
      <c r="R804" s="4">
        <v>214492</v>
      </c>
      <c r="S804" s="5">
        <v>0.4</v>
      </c>
      <c r="T804" s="4">
        <v>85797</v>
      </c>
      <c r="U804" s="4">
        <v>300289</v>
      </c>
      <c r="V804" s="6">
        <f t="shared" si="24"/>
        <v>0</v>
      </c>
      <c r="W804" s="6">
        <f t="shared" si="25"/>
        <v>300289</v>
      </c>
    </row>
    <row r="805" spans="1:23" x14ac:dyDescent="0.3">
      <c r="A805" s="2" t="s">
        <v>25</v>
      </c>
      <c r="B805" s="2">
        <v>3.024</v>
      </c>
      <c r="C805" s="2"/>
      <c r="D805" s="2"/>
      <c r="E805" s="2">
        <v>146.19999999999999</v>
      </c>
      <c r="F805" s="2"/>
      <c r="G805" s="2">
        <v>525</v>
      </c>
      <c r="H805" s="2"/>
      <c r="I805" s="2"/>
      <c r="J805" s="3">
        <f>IF(A805="Upgrade",IF(OR(H805=4,H805=5),VLOOKUP(I805,'Renewal Rates'!$A$22:$B$27,2,FALSE),2.7%),IF(A805="Renewal",100%,0%))</f>
        <v>0</v>
      </c>
      <c r="K805" s="2" t="s">
        <v>49</v>
      </c>
      <c r="L805" s="2">
        <v>385</v>
      </c>
      <c r="M805" s="2" t="s">
        <v>23</v>
      </c>
      <c r="N805" s="2" t="s">
        <v>24</v>
      </c>
      <c r="O805" s="4">
        <v>423107</v>
      </c>
      <c r="P805" s="4">
        <v>2894</v>
      </c>
      <c r="Q805" s="4">
        <v>143856</v>
      </c>
      <c r="R805" s="4">
        <v>566964</v>
      </c>
      <c r="S805" s="5">
        <v>0.4</v>
      </c>
      <c r="T805" s="4">
        <v>226786</v>
      </c>
      <c r="U805" s="4">
        <v>793749</v>
      </c>
      <c r="V805" s="6">
        <f t="shared" si="24"/>
        <v>0</v>
      </c>
      <c r="W805" s="6">
        <f t="shared" si="25"/>
        <v>793749</v>
      </c>
    </row>
    <row r="806" spans="1:23" x14ac:dyDescent="0.3">
      <c r="A806" s="2" t="s">
        <v>25</v>
      </c>
      <c r="B806" s="2">
        <v>3.0329999999999999</v>
      </c>
      <c r="C806" s="2"/>
      <c r="D806" s="2"/>
      <c r="E806" s="2">
        <v>68.5</v>
      </c>
      <c r="F806" s="2"/>
      <c r="G806" s="2">
        <v>525</v>
      </c>
      <c r="H806" s="2"/>
      <c r="I806" s="2"/>
      <c r="J806" s="3">
        <f>IF(A806="Upgrade",IF(OR(H806=4,H806=5),VLOOKUP(I806,'Renewal Rates'!$A$22:$B$27,2,FALSE),2.7%),IF(A806="Renewal",100%,0%))</f>
        <v>0</v>
      </c>
      <c r="K806" s="2" t="s">
        <v>49</v>
      </c>
      <c r="L806" s="2">
        <v>387</v>
      </c>
      <c r="M806" s="2" t="s">
        <v>23</v>
      </c>
      <c r="N806" s="2" t="s">
        <v>24</v>
      </c>
      <c r="O806" s="4">
        <v>236126</v>
      </c>
      <c r="P806" s="4">
        <v>3449</v>
      </c>
      <c r="Q806" s="4">
        <v>80283</v>
      </c>
      <c r="R806" s="4">
        <v>316409</v>
      </c>
      <c r="S806" s="5">
        <v>0.4</v>
      </c>
      <c r="T806" s="4">
        <v>126564</v>
      </c>
      <c r="U806" s="4">
        <v>442973</v>
      </c>
      <c r="V806" s="6">
        <f t="shared" si="24"/>
        <v>0</v>
      </c>
      <c r="W806" s="6">
        <f t="shared" si="25"/>
        <v>442973</v>
      </c>
    </row>
    <row r="807" spans="1:23" x14ac:dyDescent="0.3">
      <c r="A807" s="2" t="s">
        <v>25</v>
      </c>
      <c r="B807" s="2">
        <v>3.0350000000000001</v>
      </c>
      <c r="C807" s="2"/>
      <c r="D807" s="2"/>
      <c r="E807" s="2">
        <v>62.1</v>
      </c>
      <c r="F807" s="2"/>
      <c r="G807" s="2">
        <v>450</v>
      </c>
      <c r="H807" s="2"/>
      <c r="I807" s="2"/>
      <c r="J807" s="3">
        <f>IF(A807="Upgrade",IF(OR(H807=4,H807=5),VLOOKUP(I807,'Renewal Rates'!$A$22:$B$27,2,FALSE),2.7%),IF(A807="Renewal",100%,0%))</f>
        <v>0</v>
      </c>
      <c r="K807" s="2" t="s">
        <v>49</v>
      </c>
      <c r="L807" s="2">
        <v>387</v>
      </c>
      <c r="M807" s="2" t="s">
        <v>23</v>
      </c>
      <c r="N807" s="2" t="s">
        <v>24</v>
      </c>
      <c r="O807" s="4">
        <v>185719</v>
      </c>
      <c r="P807" s="4">
        <v>2992</v>
      </c>
      <c r="Q807" s="4">
        <v>63144</v>
      </c>
      <c r="R807" s="4">
        <v>248863</v>
      </c>
      <c r="S807" s="5">
        <v>0.4</v>
      </c>
      <c r="T807" s="4">
        <v>99545</v>
      </c>
      <c r="U807" s="4">
        <v>348408</v>
      </c>
      <c r="V807" s="6">
        <f t="shared" si="24"/>
        <v>0</v>
      </c>
      <c r="W807" s="6">
        <f t="shared" si="25"/>
        <v>348408</v>
      </c>
    </row>
    <row r="808" spans="1:23" x14ac:dyDescent="0.3">
      <c r="A808" s="2" t="s">
        <v>21</v>
      </c>
      <c r="B808" s="2">
        <v>3.048</v>
      </c>
      <c r="C808" s="2">
        <v>2000281572</v>
      </c>
      <c r="D808" s="2">
        <v>52.7</v>
      </c>
      <c r="E808" s="2"/>
      <c r="F808" s="2">
        <v>225</v>
      </c>
      <c r="G808" s="2">
        <v>750</v>
      </c>
      <c r="H808" s="2"/>
      <c r="I808" s="2"/>
      <c r="J808" s="3">
        <f>IF(A808="Upgrade",IF(OR(H808=4,H808=5),VLOOKUP(I808,'Renewal Rates'!$A$22:$B$27,2,FALSE),2.7%),IF(A808="Renewal",100%,0%))</f>
        <v>2.7000000000000003E-2</v>
      </c>
      <c r="K808" s="2" t="s">
        <v>52</v>
      </c>
      <c r="L808" s="2">
        <v>387</v>
      </c>
      <c r="M808" s="2" t="s">
        <v>23</v>
      </c>
      <c r="N808" s="2" t="s">
        <v>24</v>
      </c>
      <c r="O808" s="4">
        <v>266336</v>
      </c>
      <c r="P808" s="4">
        <v>5050</v>
      </c>
      <c r="Q808" s="4">
        <v>90554</v>
      </c>
      <c r="R808" s="4">
        <v>356890</v>
      </c>
      <c r="S808" s="5">
        <v>0.4</v>
      </c>
      <c r="T808" s="4">
        <v>142756</v>
      </c>
      <c r="U808" s="4">
        <v>499646</v>
      </c>
      <c r="V808" s="6">
        <f t="shared" si="24"/>
        <v>13490.442000000001</v>
      </c>
      <c r="W808" s="6">
        <f t="shared" si="25"/>
        <v>486155.55800000002</v>
      </c>
    </row>
    <row r="809" spans="1:23" x14ac:dyDescent="0.3">
      <c r="A809" s="2" t="s">
        <v>21</v>
      </c>
      <c r="B809" s="2">
        <v>3.048</v>
      </c>
      <c r="C809" s="2">
        <v>2000359180</v>
      </c>
      <c r="D809" s="2">
        <v>62.2</v>
      </c>
      <c r="E809" s="2"/>
      <c r="F809" s="2">
        <v>225</v>
      </c>
      <c r="G809" s="2">
        <v>750</v>
      </c>
      <c r="H809" s="2"/>
      <c r="I809" s="2"/>
      <c r="J809" s="3">
        <f>IF(A809="Upgrade",IF(OR(H809=4,H809=5),VLOOKUP(I809,'Renewal Rates'!$A$22:$B$27,2,FALSE),2.7%),IF(A809="Renewal",100%,0%))</f>
        <v>2.7000000000000003E-2</v>
      </c>
      <c r="K809" s="2" t="s">
        <v>52</v>
      </c>
      <c r="L809" s="2">
        <v>387</v>
      </c>
      <c r="M809" s="2" t="s">
        <v>23</v>
      </c>
      <c r="N809" s="2" t="s">
        <v>24</v>
      </c>
      <c r="O809" s="4">
        <v>275249</v>
      </c>
      <c r="P809" s="4">
        <v>4425</v>
      </c>
      <c r="Q809" s="4">
        <v>93585</v>
      </c>
      <c r="R809" s="4">
        <v>368833</v>
      </c>
      <c r="S809" s="5">
        <v>0.4</v>
      </c>
      <c r="T809" s="4">
        <v>147533</v>
      </c>
      <c r="U809" s="4">
        <v>516366</v>
      </c>
      <c r="V809" s="6">
        <f t="shared" si="24"/>
        <v>13941.882000000001</v>
      </c>
      <c r="W809" s="6">
        <f t="shared" si="25"/>
        <v>502424.11800000002</v>
      </c>
    </row>
    <row r="810" spans="1:23" x14ac:dyDescent="0.3">
      <c r="A810" s="2" t="s">
        <v>21</v>
      </c>
      <c r="B810" s="2">
        <v>3.048</v>
      </c>
      <c r="C810" s="2">
        <v>2000384248</v>
      </c>
      <c r="D810" s="2">
        <v>54.9</v>
      </c>
      <c r="E810" s="2"/>
      <c r="F810" s="2">
        <v>225</v>
      </c>
      <c r="G810" s="2">
        <v>750</v>
      </c>
      <c r="H810" s="2"/>
      <c r="I810" s="2"/>
      <c r="J810" s="3">
        <f>IF(A810="Upgrade",IF(OR(H810=4,H810=5),VLOOKUP(I810,'Renewal Rates'!$A$22:$B$27,2,FALSE),2.7%),IF(A810="Renewal",100%,0%))</f>
        <v>2.7000000000000003E-2</v>
      </c>
      <c r="K810" s="2" t="s">
        <v>52</v>
      </c>
      <c r="L810" s="2">
        <v>387</v>
      </c>
      <c r="M810" s="2" t="s">
        <v>23</v>
      </c>
      <c r="N810" s="2" t="s">
        <v>24</v>
      </c>
      <c r="O810" s="4">
        <v>245898</v>
      </c>
      <c r="P810" s="4">
        <v>4478</v>
      </c>
      <c r="Q810" s="4">
        <v>83605</v>
      </c>
      <c r="R810" s="4">
        <v>329504</v>
      </c>
      <c r="S810" s="5">
        <v>0.4</v>
      </c>
      <c r="T810" s="4">
        <v>131801</v>
      </c>
      <c r="U810" s="4">
        <v>461305</v>
      </c>
      <c r="V810" s="6">
        <f t="shared" si="24"/>
        <v>12455.235000000001</v>
      </c>
      <c r="W810" s="6">
        <f t="shared" si="25"/>
        <v>448849.76500000001</v>
      </c>
    </row>
    <row r="811" spans="1:23" x14ac:dyDescent="0.3">
      <c r="A811" s="2" t="s">
        <v>25</v>
      </c>
      <c r="B811" s="2">
        <v>3.032</v>
      </c>
      <c r="C811" s="2"/>
      <c r="D811" s="2"/>
      <c r="E811" s="2">
        <v>98.8</v>
      </c>
      <c r="F811" s="2"/>
      <c r="G811" s="2">
        <v>525</v>
      </c>
      <c r="H811" s="2"/>
      <c r="I811" s="2"/>
      <c r="J811" s="3">
        <f>IF(A811="Upgrade",IF(OR(H811=4,H811=5),VLOOKUP(I811,'Renewal Rates'!$A$22:$B$27,2,FALSE),2.7%),IF(A811="Renewal",100%,0%))</f>
        <v>0</v>
      </c>
      <c r="K811" s="2" t="s">
        <v>49</v>
      </c>
      <c r="L811" s="2">
        <v>387</v>
      </c>
      <c r="M811" s="2" t="s">
        <v>23</v>
      </c>
      <c r="N811" s="2" t="s">
        <v>24</v>
      </c>
      <c r="O811" s="4">
        <v>285144</v>
      </c>
      <c r="P811" s="4">
        <v>2885</v>
      </c>
      <c r="Q811" s="4">
        <v>96949</v>
      </c>
      <c r="R811" s="4">
        <v>382093</v>
      </c>
      <c r="S811" s="5">
        <v>0.4</v>
      </c>
      <c r="T811" s="4">
        <v>152837</v>
      </c>
      <c r="U811" s="4">
        <v>534930</v>
      </c>
      <c r="V811" s="6">
        <f t="shared" si="24"/>
        <v>0</v>
      </c>
      <c r="W811" s="6">
        <f t="shared" si="25"/>
        <v>534930</v>
      </c>
    </row>
    <row r="812" spans="1:23" x14ac:dyDescent="0.3">
      <c r="A812" s="2" t="s">
        <v>25</v>
      </c>
      <c r="B812" s="2">
        <v>3.0289999999999999</v>
      </c>
      <c r="C812" s="2"/>
      <c r="D812" s="2"/>
      <c r="E812" s="2">
        <v>122.8</v>
      </c>
      <c r="F812" s="2"/>
      <c r="G812" s="2">
        <v>750</v>
      </c>
      <c r="H812" s="2"/>
      <c r="I812" s="2"/>
      <c r="J812" s="3">
        <f>IF(A812="Upgrade",IF(OR(H812=4,H812=5),VLOOKUP(I812,'Renewal Rates'!$A$22:$B$27,2,FALSE),2.7%),IF(A812="Renewal",100%,0%))</f>
        <v>0</v>
      </c>
      <c r="K812" s="2" t="s">
        <v>49</v>
      </c>
      <c r="L812" s="2">
        <v>387</v>
      </c>
      <c r="M812" s="2" t="s">
        <v>23</v>
      </c>
      <c r="N812" s="2" t="s">
        <v>24</v>
      </c>
      <c r="O812" s="4">
        <v>498744</v>
      </c>
      <c r="P812" s="4">
        <v>4062</v>
      </c>
      <c r="Q812" s="4">
        <v>169573</v>
      </c>
      <c r="R812" s="4">
        <v>668316</v>
      </c>
      <c r="S812" s="5">
        <v>0.4</v>
      </c>
      <c r="T812" s="4">
        <v>267327</v>
      </c>
      <c r="U812" s="4">
        <v>935643</v>
      </c>
      <c r="V812" s="6">
        <f t="shared" si="24"/>
        <v>0</v>
      </c>
      <c r="W812" s="6">
        <f t="shared" si="25"/>
        <v>935643</v>
      </c>
    </row>
    <row r="813" spans="1:23" x14ac:dyDescent="0.3">
      <c r="A813" s="2" t="s">
        <v>25</v>
      </c>
      <c r="B813" s="2">
        <v>3.0249999999999999</v>
      </c>
      <c r="C813" s="2"/>
      <c r="D813" s="2"/>
      <c r="E813" s="2">
        <v>87.6</v>
      </c>
      <c r="F813" s="2"/>
      <c r="G813" s="2">
        <v>525</v>
      </c>
      <c r="H813" s="2"/>
      <c r="I813" s="2"/>
      <c r="J813" s="3">
        <f>IF(A813="Upgrade",IF(OR(H813=4,H813=5),VLOOKUP(I813,'Renewal Rates'!$A$22:$B$27,2,FALSE),2.7%),IF(A813="Renewal",100%,0%))</f>
        <v>0</v>
      </c>
      <c r="K813" s="2" t="s">
        <v>52</v>
      </c>
      <c r="L813" s="2">
        <v>385</v>
      </c>
      <c r="M813" s="2" t="s">
        <v>23</v>
      </c>
      <c r="N813" s="2" t="s">
        <v>24</v>
      </c>
      <c r="O813" s="4">
        <v>255936</v>
      </c>
      <c r="P813" s="4">
        <v>2920</v>
      </c>
      <c r="Q813" s="4">
        <v>87018</v>
      </c>
      <c r="R813" s="4">
        <v>342955</v>
      </c>
      <c r="S813" s="5">
        <v>0.4</v>
      </c>
      <c r="T813" s="4">
        <v>137182</v>
      </c>
      <c r="U813" s="4">
        <v>480136</v>
      </c>
      <c r="V813" s="6">
        <f t="shared" si="24"/>
        <v>0</v>
      </c>
      <c r="W813" s="6">
        <f t="shared" si="25"/>
        <v>480136</v>
      </c>
    </row>
    <row r="814" spans="1:23" x14ac:dyDescent="0.3">
      <c r="A814" s="2" t="s">
        <v>21</v>
      </c>
      <c r="B814" s="2">
        <v>3.044</v>
      </c>
      <c r="C814" s="2">
        <v>2000032235</v>
      </c>
      <c r="D814" s="2">
        <v>9.3000000000000007</v>
      </c>
      <c r="E814" s="2"/>
      <c r="F814" s="2">
        <v>300</v>
      </c>
      <c r="G814" s="2">
        <v>825</v>
      </c>
      <c r="H814" s="2"/>
      <c r="I814" s="2"/>
      <c r="J814" s="3">
        <f>IF(A814="Upgrade",IF(OR(H814=4,H814=5),VLOOKUP(I814,'Renewal Rates'!$A$22:$B$27,2,FALSE),2.7%),IF(A814="Renewal",100%,0%))</f>
        <v>2.7000000000000003E-2</v>
      </c>
      <c r="K814" s="2" t="s">
        <v>22</v>
      </c>
      <c r="L814" s="2">
        <v>387</v>
      </c>
      <c r="M814" s="2" t="s">
        <v>23</v>
      </c>
      <c r="N814" s="2" t="s">
        <v>24</v>
      </c>
      <c r="O814" s="4">
        <v>106166</v>
      </c>
      <c r="P814" s="4">
        <v>11356</v>
      </c>
      <c r="Q814" s="4">
        <v>36096</v>
      </c>
      <c r="R814" s="4">
        <v>142262</v>
      </c>
      <c r="S814" s="5">
        <v>0.4</v>
      </c>
      <c r="T814" s="4">
        <v>56905</v>
      </c>
      <c r="U814" s="4">
        <v>199167</v>
      </c>
      <c r="V814" s="6">
        <f t="shared" si="24"/>
        <v>5377.5090000000009</v>
      </c>
      <c r="W814" s="6">
        <f t="shared" si="25"/>
        <v>193789.49100000001</v>
      </c>
    </row>
    <row r="815" spans="1:23" x14ac:dyDescent="0.3">
      <c r="A815" s="2" t="s">
        <v>21</v>
      </c>
      <c r="B815" s="2">
        <v>3.044</v>
      </c>
      <c r="C815" s="2">
        <v>2000647843</v>
      </c>
      <c r="D815" s="2">
        <v>41.1</v>
      </c>
      <c r="E815" s="2"/>
      <c r="F815" s="2">
        <v>300</v>
      </c>
      <c r="G815" s="2">
        <v>825</v>
      </c>
      <c r="H815" s="2">
        <v>4</v>
      </c>
      <c r="I815" s="2">
        <v>2</v>
      </c>
      <c r="J815" s="3">
        <f>IF(A815="Upgrade",IF(OR(H815=4,H815=5),VLOOKUP(I815,'Renewal Rates'!$A$22:$B$27,2,FALSE),2.7%),IF(A815="Renewal",100%,0%))</f>
        <v>0</v>
      </c>
      <c r="K815" s="2" t="s">
        <v>22</v>
      </c>
      <c r="L815" s="2">
        <v>387</v>
      </c>
      <c r="M815" s="2" t="s">
        <v>23</v>
      </c>
      <c r="N815" s="2" t="s">
        <v>24</v>
      </c>
      <c r="O815" s="4">
        <v>189400</v>
      </c>
      <c r="P815" s="4">
        <v>4613</v>
      </c>
      <c r="Q815" s="4">
        <v>64396</v>
      </c>
      <c r="R815" s="4">
        <v>253797</v>
      </c>
      <c r="S815" s="5">
        <v>0.4</v>
      </c>
      <c r="T815" s="4">
        <v>101519</v>
      </c>
      <c r="U815" s="4">
        <v>355315</v>
      </c>
      <c r="V815" s="6">
        <f t="shared" si="24"/>
        <v>0</v>
      </c>
      <c r="W815" s="6">
        <f t="shared" si="25"/>
        <v>355315</v>
      </c>
    </row>
    <row r="816" spans="1:23" x14ac:dyDescent="0.3">
      <c r="A816" s="2" t="s">
        <v>21</v>
      </c>
      <c r="B816" s="2">
        <v>3.044</v>
      </c>
      <c r="C816" s="2">
        <v>2000765076</v>
      </c>
      <c r="D816" s="2">
        <v>39.1</v>
      </c>
      <c r="E816" s="2"/>
      <c r="F816" s="2">
        <v>300</v>
      </c>
      <c r="G816" s="2">
        <v>825</v>
      </c>
      <c r="H816" s="2"/>
      <c r="I816" s="2"/>
      <c r="J816" s="3">
        <f>IF(A816="Upgrade",IF(OR(H816=4,H816=5),VLOOKUP(I816,'Renewal Rates'!$A$22:$B$27,2,FALSE),2.7%),IF(A816="Renewal",100%,0%))</f>
        <v>2.7000000000000003E-2</v>
      </c>
      <c r="K816" s="2" t="s">
        <v>22</v>
      </c>
      <c r="L816" s="2">
        <v>387</v>
      </c>
      <c r="M816" s="2" t="s">
        <v>23</v>
      </c>
      <c r="N816" s="2" t="s">
        <v>24</v>
      </c>
      <c r="O816" s="4">
        <v>186398</v>
      </c>
      <c r="P816" s="4">
        <v>4769</v>
      </c>
      <c r="Q816" s="4">
        <v>63375</v>
      </c>
      <c r="R816" s="4">
        <v>249773</v>
      </c>
      <c r="S816" s="5">
        <v>0.4</v>
      </c>
      <c r="T816" s="4">
        <v>99909</v>
      </c>
      <c r="U816" s="4">
        <v>349682</v>
      </c>
      <c r="V816" s="6">
        <f t="shared" si="24"/>
        <v>9441.4140000000007</v>
      </c>
      <c r="W816" s="6">
        <f t="shared" si="25"/>
        <v>340240.58600000001</v>
      </c>
    </row>
    <row r="817" spans="1:23" x14ac:dyDescent="0.3">
      <c r="A817" s="2" t="s">
        <v>21</v>
      </c>
      <c r="B817" s="2">
        <v>3.044</v>
      </c>
      <c r="C817" s="2">
        <v>2000470862</v>
      </c>
      <c r="D817" s="2">
        <v>19.5</v>
      </c>
      <c r="E817" s="2"/>
      <c r="F817" s="2">
        <v>225</v>
      </c>
      <c r="G817" s="2">
        <v>825</v>
      </c>
      <c r="H817" s="2"/>
      <c r="I817" s="2"/>
      <c r="J817" s="3">
        <f>IF(A817="Upgrade",IF(OR(H817=4,H817=5),VLOOKUP(I817,'Renewal Rates'!$A$22:$B$27,2,FALSE),2.7%),IF(A817="Renewal",100%,0%))</f>
        <v>2.7000000000000003E-2</v>
      </c>
      <c r="K817" s="2" t="s">
        <v>22</v>
      </c>
      <c r="L817" s="2">
        <v>387</v>
      </c>
      <c r="M817" s="2" t="s">
        <v>23</v>
      </c>
      <c r="N817" s="2" t="s">
        <v>24</v>
      </c>
      <c r="O817" s="4">
        <v>117670</v>
      </c>
      <c r="P817" s="4">
        <v>6035</v>
      </c>
      <c r="Q817" s="4">
        <v>40008</v>
      </c>
      <c r="R817" s="4">
        <v>157678</v>
      </c>
      <c r="S817" s="5">
        <v>0.4</v>
      </c>
      <c r="T817" s="4">
        <v>63071</v>
      </c>
      <c r="U817" s="4">
        <v>220749</v>
      </c>
      <c r="V817" s="6">
        <f t="shared" si="24"/>
        <v>5960.2230000000009</v>
      </c>
      <c r="W817" s="6">
        <f t="shared" si="25"/>
        <v>214788.777</v>
      </c>
    </row>
    <row r="818" spans="1:23" x14ac:dyDescent="0.3">
      <c r="A818" s="2" t="s">
        <v>21</v>
      </c>
      <c r="B818" s="2">
        <v>3.044</v>
      </c>
      <c r="C818" s="2">
        <v>2000679713</v>
      </c>
      <c r="D818" s="2">
        <v>15.6</v>
      </c>
      <c r="E818" s="2">
        <v>0</v>
      </c>
      <c r="F818" s="2">
        <v>225</v>
      </c>
      <c r="G818" s="2">
        <v>825</v>
      </c>
      <c r="H818" s="2"/>
      <c r="I818" s="2"/>
      <c r="J818" s="3">
        <f>IF(A818="Upgrade",IF(OR(H818=4,H818=5),VLOOKUP(I818,'Renewal Rates'!$A$22:$B$27,2,FALSE),2.7%),IF(A818="Renewal",100%,0%))</f>
        <v>2.7000000000000003E-2</v>
      </c>
      <c r="K818" s="2" t="s">
        <v>22</v>
      </c>
      <c r="L818" s="2">
        <v>387</v>
      </c>
      <c r="M818" s="2" t="s">
        <v>23</v>
      </c>
      <c r="N818" s="2" t="s">
        <v>24</v>
      </c>
      <c r="O818" s="4">
        <v>88321</v>
      </c>
      <c r="P818" s="4">
        <v>5657</v>
      </c>
      <c r="Q818" s="4">
        <v>30029</v>
      </c>
      <c r="R818" s="4">
        <v>118350</v>
      </c>
      <c r="S818" s="5">
        <v>0.4</v>
      </c>
      <c r="T818" s="4">
        <v>47340</v>
      </c>
      <c r="U818" s="4">
        <v>165690</v>
      </c>
      <c r="V818" s="6">
        <f t="shared" si="24"/>
        <v>4473.63</v>
      </c>
      <c r="W818" s="6">
        <f t="shared" si="25"/>
        <v>161216.37</v>
      </c>
    </row>
    <row r="819" spans="1:23" x14ac:dyDescent="0.3">
      <c r="A819" s="2" t="s">
        <v>21</v>
      </c>
      <c r="B819" s="2">
        <v>3.044</v>
      </c>
      <c r="C819" s="2">
        <v>2000097457</v>
      </c>
      <c r="D819" s="2">
        <v>57.5</v>
      </c>
      <c r="E819" s="2"/>
      <c r="F819" s="2">
        <v>225</v>
      </c>
      <c r="G819" s="2">
        <v>825</v>
      </c>
      <c r="H819" s="2"/>
      <c r="I819" s="2"/>
      <c r="J819" s="3">
        <f>IF(A819="Upgrade",IF(OR(H819=4,H819=5),VLOOKUP(I819,'Renewal Rates'!$A$22:$B$27,2,FALSE),2.7%),IF(A819="Renewal",100%,0%))</f>
        <v>2.7000000000000003E-2</v>
      </c>
      <c r="K819" s="2" t="s">
        <v>22</v>
      </c>
      <c r="L819" s="2">
        <v>387</v>
      </c>
      <c r="M819" s="2" t="s">
        <v>23</v>
      </c>
      <c r="N819" s="2" t="s">
        <v>24</v>
      </c>
      <c r="O819" s="4">
        <v>277409</v>
      </c>
      <c r="P819" s="4">
        <v>4822</v>
      </c>
      <c r="Q819" s="4">
        <v>94319</v>
      </c>
      <c r="R819" s="4">
        <v>371728</v>
      </c>
      <c r="S819" s="5">
        <v>0.4</v>
      </c>
      <c r="T819" s="4">
        <v>148691</v>
      </c>
      <c r="U819" s="4">
        <v>520419</v>
      </c>
      <c r="V819" s="6">
        <f t="shared" si="24"/>
        <v>14051.313000000002</v>
      </c>
      <c r="W819" s="6">
        <f t="shared" si="25"/>
        <v>506367.68699999998</v>
      </c>
    </row>
    <row r="820" spans="1:23" x14ac:dyDescent="0.3">
      <c r="A820" s="2" t="s">
        <v>21</v>
      </c>
      <c r="B820" s="2">
        <v>3.044</v>
      </c>
      <c r="C820" s="2">
        <v>3000126067</v>
      </c>
      <c r="D820" s="2">
        <v>11.3</v>
      </c>
      <c r="E820" s="2"/>
      <c r="F820" s="2">
        <v>225</v>
      </c>
      <c r="G820" s="2">
        <v>825</v>
      </c>
      <c r="H820" s="2"/>
      <c r="I820" s="2"/>
      <c r="J820" s="3">
        <f>IF(A820="Upgrade",IF(OR(H820=4,H820=5),VLOOKUP(I820,'Renewal Rates'!$A$22:$B$27,2,FALSE),2.7%),IF(A820="Renewal",100%,0%))</f>
        <v>2.7000000000000003E-2</v>
      </c>
      <c r="K820" s="2" t="s">
        <v>22</v>
      </c>
      <c r="L820" s="2">
        <v>387</v>
      </c>
      <c r="M820" s="2" t="s">
        <v>23</v>
      </c>
      <c r="N820" s="2" t="s">
        <v>24</v>
      </c>
      <c r="O820" s="4">
        <v>85708</v>
      </c>
      <c r="P820" s="4">
        <v>7598</v>
      </c>
      <c r="Q820" s="4">
        <v>29141</v>
      </c>
      <c r="R820" s="4">
        <v>114849</v>
      </c>
      <c r="S820" s="5">
        <v>0.4</v>
      </c>
      <c r="T820" s="4">
        <v>45940</v>
      </c>
      <c r="U820" s="4">
        <v>160789</v>
      </c>
      <c r="V820" s="6">
        <f t="shared" si="24"/>
        <v>4341.3030000000008</v>
      </c>
      <c r="W820" s="6">
        <f t="shared" si="25"/>
        <v>156447.69699999999</v>
      </c>
    </row>
    <row r="821" spans="1:23" x14ac:dyDescent="0.3">
      <c r="A821" s="2" t="s">
        <v>25</v>
      </c>
      <c r="B821" s="2">
        <v>3.028</v>
      </c>
      <c r="C821" s="2"/>
      <c r="D821" s="2"/>
      <c r="E821" s="2">
        <v>78.5</v>
      </c>
      <c r="F821" s="2"/>
      <c r="G821" s="2">
        <v>525</v>
      </c>
      <c r="H821" s="2"/>
      <c r="I821" s="2"/>
      <c r="J821" s="3">
        <f>IF(A821="Upgrade",IF(OR(H821=4,H821=5),VLOOKUP(I821,'Renewal Rates'!$A$22:$B$27,2,FALSE),2.7%),IF(A821="Renewal",100%,0%))</f>
        <v>0</v>
      </c>
      <c r="K821" s="2" t="s">
        <v>22</v>
      </c>
      <c r="L821" s="2">
        <v>387</v>
      </c>
      <c r="M821" s="2" t="s">
        <v>23</v>
      </c>
      <c r="N821" s="2" t="s">
        <v>24</v>
      </c>
      <c r="O821" s="4">
        <v>247963</v>
      </c>
      <c r="P821" s="4">
        <v>3158</v>
      </c>
      <c r="Q821" s="4">
        <v>84307</v>
      </c>
      <c r="R821" s="4">
        <v>332270</v>
      </c>
      <c r="S821" s="5">
        <v>0.4</v>
      </c>
      <c r="T821" s="4">
        <v>132908</v>
      </c>
      <c r="U821" s="4">
        <v>465178</v>
      </c>
      <c r="V821" s="6">
        <f t="shared" si="24"/>
        <v>0</v>
      </c>
      <c r="W821" s="6">
        <f t="shared" si="25"/>
        <v>465178</v>
      </c>
    </row>
    <row r="822" spans="1:23" x14ac:dyDescent="0.3">
      <c r="A822" s="2" t="s">
        <v>25</v>
      </c>
      <c r="B822" s="2">
        <v>3.0209999999999999</v>
      </c>
      <c r="C822" s="2"/>
      <c r="D822" s="2"/>
      <c r="E822" s="2">
        <v>73.7</v>
      </c>
      <c r="F822" s="2"/>
      <c r="G822" s="2">
        <v>525</v>
      </c>
      <c r="H822" s="2"/>
      <c r="I822" s="2"/>
      <c r="J822" s="3">
        <f>IF(A822="Upgrade",IF(OR(H822=4,H822=5),VLOOKUP(I822,'Renewal Rates'!$A$22:$B$27,2,FALSE),2.7%),IF(A822="Renewal",100%,0%))</f>
        <v>0</v>
      </c>
      <c r="K822" s="2" t="s">
        <v>22</v>
      </c>
      <c r="L822" s="2">
        <v>387</v>
      </c>
      <c r="M822" s="2" t="s">
        <v>23</v>
      </c>
      <c r="N822" s="2" t="s">
        <v>24</v>
      </c>
      <c r="O822" s="4">
        <v>224323</v>
      </c>
      <c r="P822" s="4">
        <v>3044</v>
      </c>
      <c r="Q822" s="4">
        <v>76270</v>
      </c>
      <c r="R822" s="4">
        <v>300592</v>
      </c>
      <c r="S822" s="5">
        <v>0.4</v>
      </c>
      <c r="T822" s="4">
        <v>120237</v>
      </c>
      <c r="U822" s="4">
        <v>420829</v>
      </c>
      <c r="V822" s="6">
        <f t="shared" si="24"/>
        <v>0</v>
      </c>
      <c r="W822" s="6">
        <f t="shared" si="25"/>
        <v>420829</v>
      </c>
    </row>
    <row r="823" spans="1:23" x14ac:dyDescent="0.3">
      <c r="A823" s="2" t="s">
        <v>21</v>
      </c>
      <c r="B823" s="2">
        <v>3.0369999999999999</v>
      </c>
      <c r="C823" s="2">
        <v>2000488518</v>
      </c>
      <c r="D823" s="2">
        <v>51.6</v>
      </c>
      <c r="E823" s="2"/>
      <c r="F823" s="2">
        <v>225</v>
      </c>
      <c r="G823" s="2">
        <v>1275</v>
      </c>
      <c r="H823" s="2"/>
      <c r="I823" s="2"/>
      <c r="J823" s="3">
        <f>IF(A823="Upgrade",IF(OR(H823=4,H823=5),VLOOKUP(I823,'Renewal Rates'!$A$22:$B$27,2,FALSE),2.7%),IF(A823="Renewal",100%,0%))</f>
        <v>2.7000000000000003E-2</v>
      </c>
      <c r="K823" s="2" t="s">
        <v>52</v>
      </c>
      <c r="L823" s="2">
        <v>387</v>
      </c>
      <c r="M823" s="2" t="s">
        <v>23</v>
      </c>
      <c r="N823" s="2" t="s">
        <v>24</v>
      </c>
      <c r="O823" s="4">
        <v>358628</v>
      </c>
      <c r="P823" s="4">
        <v>6955</v>
      </c>
      <c r="Q823" s="4">
        <v>121934</v>
      </c>
      <c r="R823" s="4">
        <v>480561</v>
      </c>
      <c r="S823" s="5">
        <v>0.4</v>
      </c>
      <c r="T823" s="4">
        <v>192225</v>
      </c>
      <c r="U823" s="4">
        <v>672786</v>
      </c>
      <c r="V823" s="6">
        <f t="shared" si="24"/>
        <v>18165.222000000002</v>
      </c>
      <c r="W823" s="6">
        <f t="shared" si="25"/>
        <v>654620.77800000005</v>
      </c>
    </row>
    <row r="824" spans="1:23" x14ac:dyDescent="0.3">
      <c r="A824" s="2" t="s">
        <v>21</v>
      </c>
      <c r="B824" s="2">
        <v>3.0369999999999999</v>
      </c>
      <c r="C824" s="2">
        <v>2000793373</v>
      </c>
      <c r="D824" s="2">
        <v>14.8</v>
      </c>
      <c r="E824" s="2"/>
      <c r="F824" s="2">
        <v>225</v>
      </c>
      <c r="G824" s="2">
        <v>1275</v>
      </c>
      <c r="H824" s="2"/>
      <c r="I824" s="2"/>
      <c r="J824" s="3">
        <f>IF(A824="Upgrade",IF(OR(H824=4,H824=5),VLOOKUP(I824,'Renewal Rates'!$A$22:$B$27,2,FALSE),2.7%),IF(A824="Renewal",100%,0%))</f>
        <v>2.7000000000000003E-2</v>
      </c>
      <c r="K824" s="2" t="s">
        <v>52</v>
      </c>
      <c r="L824" s="2">
        <v>387</v>
      </c>
      <c r="M824" s="2" t="s">
        <v>23</v>
      </c>
      <c r="N824" s="2" t="s">
        <v>24</v>
      </c>
      <c r="O824" s="4">
        <v>108976</v>
      </c>
      <c r="P824" s="4">
        <v>7359</v>
      </c>
      <c r="Q824" s="4">
        <v>37052</v>
      </c>
      <c r="R824" s="4">
        <v>146028</v>
      </c>
      <c r="S824" s="5">
        <v>0.4</v>
      </c>
      <c r="T824" s="4">
        <v>58411</v>
      </c>
      <c r="U824" s="4">
        <v>204440</v>
      </c>
      <c r="V824" s="6">
        <f t="shared" si="24"/>
        <v>5519.880000000001</v>
      </c>
      <c r="W824" s="6">
        <f t="shared" si="25"/>
        <v>198920.12</v>
      </c>
    </row>
    <row r="825" spans="1:23" x14ac:dyDescent="0.3">
      <c r="A825" s="2" t="s">
        <v>21</v>
      </c>
      <c r="B825" s="2">
        <v>3.0369999999999999</v>
      </c>
      <c r="C825" s="2">
        <v>2000197934</v>
      </c>
      <c r="D825" s="2">
        <v>81.8</v>
      </c>
      <c r="E825" s="2"/>
      <c r="F825" s="2">
        <v>300</v>
      </c>
      <c r="G825" s="2">
        <v>1275</v>
      </c>
      <c r="H825" s="2"/>
      <c r="I825" s="2"/>
      <c r="J825" s="3">
        <f>IF(A825="Upgrade",IF(OR(H825=4,H825=5),VLOOKUP(I825,'Renewal Rates'!$A$22:$B$27,2,FALSE),2.7%),IF(A825="Renewal",100%,0%))</f>
        <v>2.7000000000000003E-2</v>
      </c>
      <c r="K825" s="2" t="s">
        <v>52</v>
      </c>
      <c r="L825" s="2">
        <v>387</v>
      </c>
      <c r="M825" s="2" t="s">
        <v>23</v>
      </c>
      <c r="N825" s="2" t="s">
        <v>24</v>
      </c>
      <c r="O825" s="4">
        <v>571373</v>
      </c>
      <c r="P825" s="4">
        <v>6981</v>
      </c>
      <c r="Q825" s="4">
        <v>194267</v>
      </c>
      <c r="R825" s="4">
        <v>765640</v>
      </c>
      <c r="S825" s="5">
        <v>0.4</v>
      </c>
      <c r="T825" s="4">
        <v>306256</v>
      </c>
      <c r="U825" s="4">
        <v>1071896</v>
      </c>
      <c r="V825" s="6">
        <f t="shared" si="24"/>
        <v>28941.192000000003</v>
      </c>
      <c r="W825" s="6">
        <f t="shared" si="25"/>
        <v>1042954.808</v>
      </c>
    </row>
    <row r="826" spans="1:23" x14ac:dyDescent="0.3">
      <c r="A826" s="2" t="s">
        <v>25</v>
      </c>
      <c r="B826" s="2">
        <v>3.03</v>
      </c>
      <c r="C826" s="2"/>
      <c r="D826" s="2"/>
      <c r="E826" s="2">
        <v>44.1</v>
      </c>
      <c r="F826" s="2"/>
      <c r="G826" s="2">
        <v>375</v>
      </c>
      <c r="H826" s="2"/>
      <c r="I826" s="2"/>
      <c r="J826" s="3">
        <f>IF(A826="Upgrade",IF(OR(H826=4,H826=5),VLOOKUP(I826,'Renewal Rates'!$A$22:$B$27,2,FALSE),2.7%),IF(A826="Renewal",100%,0%))</f>
        <v>0</v>
      </c>
      <c r="K826" s="2" t="s">
        <v>22</v>
      </c>
      <c r="L826" s="2">
        <v>387</v>
      </c>
      <c r="M826" s="2" t="s">
        <v>23</v>
      </c>
      <c r="N826" s="2" t="s">
        <v>24</v>
      </c>
      <c r="O826" s="4">
        <v>95259</v>
      </c>
      <c r="P826" s="4">
        <v>2162</v>
      </c>
      <c r="Q826" s="4">
        <v>32388</v>
      </c>
      <c r="R826" s="4">
        <v>127647</v>
      </c>
      <c r="S826" s="5">
        <v>0.4</v>
      </c>
      <c r="T826" s="4">
        <v>51059</v>
      </c>
      <c r="U826" s="4">
        <v>178706</v>
      </c>
      <c r="V826" s="6">
        <f t="shared" si="24"/>
        <v>0</v>
      </c>
      <c r="W826" s="6">
        <f t="shared" si="25"/>
        <v>178706</v>
      </c>
    </row>
    <row r="827" spans="1:23" x14ac:dyDescent="0.3">
      <c r="A827" s="2" t="s">
        <v>21</v>
      </c>
      <c r="B827" s="2">
        <v>3.0419999999999998</v>
      </c>
      <c r="C827" s="2">
        <v>2000580880</v>
      </c>
      <c r="D827" s="2">
        <v>48.2</v>
      </c>
      <c r="E827" s="2"/>
      <c r="F827" s="2">
        <v>225</v>
      </c>
      <c r="G827" s="2">
        <v>450</v>
      </c>
      <c r="H827" s="2"/>
      <c r="I827" s="2"/>
      <c r="J827" s="3">
        <f>IF(A827="Upgrade",IF(OR(H827=4,H827=5),VLOOKUP(I827,'Renewal Rates'!$A$22:$B$27,2,FALSE),2.7%),IF(A827="Renewal",100%,0%))</f>
        <v>2.7000000000000003E-2</v>
      </c>
      <c r="K827" s="2" t="s">
        <v>52</v>
      </c>
      <c r="L827" s="2">
        <v>387</v>
      </c>
      <c r="M827" s="2" t="s">
        <v>23</v>
      </c>
      <c r="N827" s="2" t="s">
        <v>24</v>
      </c>
      <c r="O827" s="4">
        <v>137083</v>
      </c>
      <c r="P827" s="4">
        <v>2842</v>
      </c>
      <c r="Q827" s="4">
        <v>46608</v>
      </c>
      <c r="R827" s="4">
        <v>183692</v>
      </c>
      <c r="S827" s="5">
        <v>0.4</v>
      </c>
      <c r="T827" s="4">
        <v>73477</v>
      </c>
      <c r="U827" s="4">
        <v>257169</v>
      </c>
      <c r="V827" s="6">
        <f t="shared" si="24"/>
        <v>6943.563000000001</v>
      </c>
      <c r="W827" s="6">
        <f t="shared" si="25"/>
        <v>250225.43700000001</v>
      </c>
    </row>
    <row r="828" spans="1:23" x14ac:dyDescent="0.3">
      <c r="A828" s="2" t="s">
        <v>21</v>
      </c>
      <c r="B828" s="2">
        <v>3.0419999999999998</v>
      </c>
      <c r="C828" s="2">
        <v>2000192942</v>
      </c>
      <c r="D828" s="2">
        <v>51</v>
      </c>
      <c r="E828" s="2"/>
      <c r="F828" s="2">
        <v>225</v>
      </c>
      <c r="G828" s="2">
        <v>450</v>
      </c>
      <c r="H828" s="2"/>
      <c r="I828" s="2"/>
      <c r="J828" s="3">
        <f>IF(A828="Upgrade",IF(OR(H828=4,H828=5),VLOOKUP(I828,'Renewal Rates'!$A$22:$B$27,2,FALSE),2.7%),IF(A828="Renewal",100%,0%))</f>
        <v>2.7000000000000003E-2</v>
      </c>
      <c r="K828" s="2" t="s">
        <v>52</v>
      </c>
      <c r="L828" s="2">
        <v>387</v>
      </c>
      <c r="M828" s="2" t="s">
        <v>23</v>
      </c>
      <c r="N828" s="2" t="s">
        <v>24</v>
      </c>
      <c r="O828" s="4">
        <v>158393</v>
      </c>
      <c r="P828" s="4">
        <v>3106</v>
      </c>
      <c r="Q828" s="4">
        <v>53854</v>
      </c>
      <c r="R828" s="4">
        <v>212246</v>
      </c>
      <c r="S828" s="5">
        <v>0.4</v>
      </c>
      <c r="T828" s="4">
        <v>84899</v>
      </c>
      <c r="U828" s="4">
        <v>297145</v>
      </c>
      <c r="V828" s="6">
        <f t="shared" si="24"/>
        <v>8022.9150000000009</v>
      </c>
      <c r="W828" s="6">
        <f t="shared" si="25"/>
        <v>289122.08500000002</v>
      </c>
    </row>
    <row r="829" spans="1:23" x14ac:dyDescent="0.3">
      <c r="A829" s="2" t="s">
        <v>21</v>
      </c>
      <c r="B829" s="2">
        <v>3.0409999999999999</v>
      </c>
      <c r="C829" s="2">
        <v>2000884109</v>
      </c>
      <c r="D829" s="2">
        <v>34.5</v>
      </c>
      <c r="E829" s="2"/>
      <c r="F829" s="2">
        <v>150</v>
      </c>
      <c r="G829" s="2">
        <v>525</v>
      </c>
      <c r="H829" s="2"/>
      <c r="I829" s="2"/>
      <c r="J829" s="3">
        <f>IF(A829="Upgrade",IF(OR(H829=4,H829=5),VLOOKUP(I829,'Renewal Rates'!$A$22:$B$27,2,FALSE),2.7%),IF(A829="Renewal",100%,0%))</f>
        <v>2.7000000000000003E-2</v>
      </c>
      <c r="K829" s="2" t="s">
        <v>52</v>
      </c>
      <c r="L829" s="2">
        <v>387</v>
      </c>
      <c r="M829" s="2" t="s">
        <v>23</v>
      </c>
      <c r="N829" s="2" t="s">
        <v>24</v>
      </c>
      <c r="O829" s="4">
        <v>112884</v>
      </c>
      <c r="P829" s="4">
        <v>3276</v>
      </c>
      <c r="Q829" s="4">
        <v>38380</v>
      </c>
      <c r="R829" s="4">
        <v>151264</v>
      </c>
      <c r="S829" s="5">
        <v>0.4</v>
      </c>
      <c r="T829" s="4">
        <v>60506</v>
      </c>
      <c r="U829" s="4">
        <v>211770</v>
      </c>
      <c r="V829" s="6">
        <f t="shared" si="24"/>
        <v>5717.7900000000009</v>
      </c>
      <c r="W829" s="6">
        <f t="shared" si="25"/>
        <v>206052.21</v>
      </c>
    </row>
    <row r="830" spans="1:23" x14ac:dyDescent="0.3">
      <c r="A830" s="2" t="s">
        <v>21</v>
      </c>
      <c r="B830" s="2">
        <v>3.0409999999999999</v>
      </c>
      <c r="C830" s="2">
        <v>2000497060</v>
      </c>
      <c r="D830" s="2">
        <v>25.5</v>
      </c>
      <c r="E830" s="2"/>
      <c r="F830" s="2">
        <v>225</v>
      </c>
      <c r="G830" s="2">
        <v>525</v>
      </c>
      <c r="H830" s="2"/>
      <c r="I830" s="2"/>
      <c r="J830" s="3">
        <f>IF(A830="Upgrade",IF(OR(H830=4,H830=5),VLOOKUP(I830,'Renewal Rates'!$A$22:$B$27,2,FALSE),2.7%),IF(A830="Renewal",100%,0%))</f>
        <v>2.7000000000000003E-2</v>
      </c>
      <c r="K830" s="2" t="s">
        <v>52</v>
      </c>
      <c r="L830" s="2">
        <v>387</v>
      </c>
      <c r="M830" s="2" t="s">
        <v>23</v>
      </c>
      <c r="N830" s="2" t="s">
        <v>24</v>
      </c>
      <c r="O830" s="4">
        <v>85617</v>
      </c>
      <c r="P830" s="4">
        <v>3359</v>
      </c>
      <c r="Q830" s="4">
        <v>29110</v>
      </c>
      <c r="R830" s="4">
        <v>114727</v>
      </c>
      <c r="S830" s="5">
        <v>0.4</v>
      </c>
      <c r="T830" s="4">
        <v>45891</v>
      </c>
      <c r="U830" s="4">
        <v>160618</v>
      </c>
      <c r="V830" s="6">
        <f t="shared" si="24"/>
        <v>4336.6860000000006</v>
      </c>
      <c r="W830" s="6">
        <f t="shared" si="25"/>
        <v>156281.31400000001</v>
      </c>
    </row>
    <row r="831" spans="1:23" x14ac:dyDescent="0.3">
      <c r="A831" s="2" t="s">
        <v>21</v>
      </c>
      <c r="B831" s="2">
        <v>3.0409999999999999</v>
      </c>
      <c r="C831" s="2">
        <v>2000194954</v>
      </c>
      <c r="D831" s="2">
        <v>9.6</v>
      </c>
      <c r="E831" s="2"/>
      <c r="F831" s="2">
        <v>225</v>
      </c>
      <c r="G831" s="2">
        <v>525</v>
      </c>
      <c r="H831" s="2"/>
      <c r="I831" s="2"/>
      <c r="J831" s="3">
        <f>IF(A831="Upgrade",IF(OR(H831=4,H831=5),VLOOKUP(I831,'Renewal Rates'!$A$22:$B$27,2,FALSE),2.7%),IF(A831="Renewal",100%,0%))</f>
        <v>2.7000000000000003E-2</v>
      </c>
      <c r="K831" s="2" t="s">
        <v>52</v>
      </c>
      <c r="L831" s="2">
        <v>387</v>
      </c>
      <c r="M831" s="2" t="s">
        <v>23</v>
      </c>
      <c r="N831" s="2" t="s">
        <v>24</v>
      </c>
      <c r="O831" s="4">
        <v>52288</v>
      </c>
      <c r="P831" s="4">
        <v>5459</v>
      </c>
      <c r="Q831" s="4">
        <v>17778</v>
      </c>
      <c r="R831" s="4">
        <v>70065</v>
      </c>
      <c r="S831" s="5">
        <v>0.4</v>
      </c>
      <c r="T831" s="4">
        <v>28026</v>
      </c>
      <c r="U831" s="4">
        <v>98092</v>
      </c>
      <c r="V831" s="6">
        <f t="shared" si="24"/>
        <v>2648.4840000000004</v>
      </c>
      <c r="W831" s="6">
        <f t="shared" si="25"/>
        <v>95443.516000000003</v>
      </c>
    </row>
    <row r="832" spans="1:23" x14ac:dyDescent="0.3">
      <c r="A832" s="2" t="s">
        <v>21</v>
      </c>
      <c r="B832" s="2">
        <v>3.0409999999999999</v>
      </c>
      <c r="C832" s="2">
        <v>2000420663</v>
      </c>
      <c r="D832" s="2">
        <v>22.4</v>
      </c>
      <c r="E832" s="2"/>
      <c r="F832" s="2">
        <v>225</v>
      </c>
      <c r="G832" s="2">
        <v>525</v>
      </c>
      <c r="H832" s="2"/>
      <c r="I832" s="2"/>
      <c r="J832" s="3">
        <f>IF(A832="Upgrade",IF(OR(H832=4,H832=5),VLOOKUP(I832,'Renewal Rates'!$A$22:$B$27,2,FALSE),2.7%),IF(A832="Renewal",100%,0%))</f>
        <v>2.7000000000000003E-2</v>
      </c>
      <c r="K832" s="2" t="s">
        <v>52</v>
      </c>
      <c r="L832" s="2">
        <v>387</v>
      </c>
      <c r="M832" s="2" t="s">
        <v>23</v>
      </c>
      <c r="N832" s="2" t="s">
        <v>24</v>
      </c>
      <c r="O832" s="4">
        <v>99310</v>
      </c>
      <c r="P832" s="4">
        <v>4431</v>
      </c>
      <c r="Q832" s="4">
        <v>33765</v>
      </c>
      <c r="R832" s="4">
        <v>133076</v>
      </c>
      <c r="S832" s="5">
        <v>0.4</v>
      </c>
      <c r="T832" s="4">
        <v>53230</v>
      </c>
      <c r="U832" s="4">
        <v>186306</v>
      </c>
      <c r="V832" s="6">
        <f t="shared" si="24"/>
        <v>5030.2620000000006</v>
      </c>
      <c r="W832" s="6">
        <f t="shared" si="25"/>
        <v>181275.73800000001</v>
      </c>
    </row>
    <row r="833" spans="1:23" x14ac:dyDescent="0.3">
      <c r="A833" s="2" t="s">
        <v>21</v>
      </c>
      <c r="B833" s="2">
        <v>3.0409999999999999</v>
      </c>
      <c r="C833" s="2">
        <v>2000825343</v>
      </c>
      <c r="D833" s="2">
        <v>15.6</v>
      </c>
      <c r="E833" s="2"/>
      <c r="F833" s="2">
        <v>225</v>
      </c>
      <c r="G833" s="2">
        <v>525</v>
      </c>
      <c r="H833" s="2"/>
      <c r="I833" s="2"/>
      <c r="J833" s="3">
        <f>IF(A833="Upgrade",IF(OR(H833=4,H833=5),VLOOKUP(I833,'Renewal Rates'!$A$22:$B$27,2,FALSE),2.7%),IF(A833="Renewal",100%,0%))</f>
        <v>2.7000000000000003E-2</v>
      </c>
      <c r="K833" s="2" t="s">
        <v>52</v>
      </c>
      <c r="L833" s="2">
        <v>387</v>
      </c>
      <c r="M833" s="2" t="s">
        <v>23</v>
      </c>
      <c r="N833" s="2" t="s">
        <v>24</v>
      </c>
      <c r="O833" s="4">
        <v>77012</v>
      </c>
      <c r="P833" s="4">
        <v>4926</v>
      </c>
      <c r="Q833" s="4">
        <v>26184</v>
      </c>
      <c r="R833" s="4">
        <v>103196</v>
      </c>
      <c r="S833" s="5">
        <v>0.4</v>
      </c>
      <c r="T833" s="4">
        <v>41278</v>
      </c>
      <c r="U833" s="4">
        <v>144474</v>
      </c>
      <c r="V833" s="6">
        <f t="shared" si="24"/>
        <v>3900.7980000000007</v>
      </c>
      <c r="W833" s="6">
        <f t="shared" si="25"/>
        <v>140573.20199999999</v>
      </c>
    </row>
    <row r="834" spans="1:23" x14ac:dyDescent="0.3">
      <c r="A834" s="2" t="s">
        <v>21</v>
      </c>
      <c r="B834" s="2">
        <v>3.0409999999999999</v>
      </c>
      <c r="C834" s="2">
        <v>2000038519</v>
      </c>
      <c r="D834" s="2">
        <v>6.2</v>
      </c>
      <c r="E834" s="2">
        <v>0</v>
      </c>
      <c r="F834" s="2">
        <v>225</v>
      </c>
      <c r="G834" s="2">
        <v>525</v>
      </c>
      <c r="H834" s="2"/>
      <c r="I834" s="2"/>
      <c r="J834" s="3">
        <f>IF(A834="Upgrade",IF(OR(H834=4,H834=5),VLOOKUP(I834,'Renewal Rates'!$A$22:$B$27,2,FALSE),2.7%),IF(A834="Renewal",100%,0%))</f>
        <v>2.7000000000000003E-2</v>
      </c>
      <c r="K834" s="2" t="s">
        <v>52</v>
      </c>
      <c r="L834" s="2">
        <v>387</v>
      </c>
      <c r="M834" s="2" t="s">
        <v>23</v>
      </c>
      <c r="N834" s="2" t="s">
        <v>24</v>
      </c>
      <c r="O834" s="4">
        <v>49328</v>
      </c>
      <c r="P834" s="4">
        <v>7971</v>
      </c>
      <c r="Q834" s="4">
        <v>16772</v>
      </c>
      <c r="R834" s="4">
        <v>66099</v>
      </c>
      <c r="S834" s="5">
        <v>0.4</v>
      </c>
      <c r="T834" s="4">
        <v>26440</v>
      </c>
      <c r="U834" s="4">
        <v>92539</v>
      </c>
      <c r="V834" s="6">
        <f t="shared" si="24"/>
        <v>2498.5530000000003</v>
      </c>
      <c r="W834" s="6">
        <f t="shared" si="25"/>
        <v>90040.447</v>
      </c>
    </row>
    <row r="835" spans="1:23" x14ac:dyDescent="0.3">
      <c r="A835" s="2" t="s">
        <v>21</v>
      </c>
      <c r="B835" s="2">
        <v>3.0409999999999999</v>
      </c>
      <c r="C835" s="2">
        <v>2000391422</v>
      </c>
      <c r="D835" s="2">
        <v>26.4</v>
      </c>
      <c r="E835" s="2"/>
      <c r="F835" s="2">
        <v>225</v>
      </c>
      <c r="G835" s="2">
        <v>525</v>
      </c>
      <c r="H835" s="2"/>
      <c r="I835" s="2"/>
      <c r="J835" s="3">
        <f>IF(A835="Upgrade",IF(OR(H835=4,H835=5),VLOOKUP(I835,'Renewal Rates'!$A$22:$B$27,2,FALSE),2.7%),IF(A835="Renewal",100%,0%))</f>
        <v>2.7000000000000003E-2</v>
      </c>
      <c r="K835" s="2" t="s">
        <v>52</v>
      </c>
      <c r="L835" s="2">
        <v>387</v>
      </c>
      <c r="M835" s="2" t="s">
        <v>23</v>
      </c>
      <c r="N835" s="2" t="s">
        <v>24</v>
      </c>
      <c r="O835" s="4">
        <v>105879</v>
      </c>
      <c r="P835" s="4">
        <v>4005</v>
      </c>
      <c r="Q835" s="4">
        <v>35999</v>
      </c>
      <c r="R835" s="4">
        <v>141878</v>
      </c>
      <c r="S835" s="5">
        <v>0.4</v>
      </c>
      <c r="T835" s="4">
        <v>56751</v>
      </c>
      <c r="U835" s="4">
        <v>198629</v>
      </c>
      <c r="V835" s="6">
        <f t="shared" ref="V835:V898" si="26">J835*U835</f>
        <v>5362.9830000000002</v>
      </c>
      <c r="W835" s="6">
        <f t="shared" ref="W835:W898" si="27">U835-V835</f>
        <v>193266.01699999999</v>
      </c>
    </row>
    <row r="836" spans="1:23" x14ac:dyDescent="0.3">
      <c r="A836" s="2" t="s">
        <v>21</v>
      </c>
      <c r="B836" s="2">
        <v>3.0609999999999999</v>
      </c>
      <c r="C836" s="2">
        <v>2000552746</v>
      </c>
      <c r="D836" s="2">
        <v>85.1</v>
      </c>
      <c r="E836" s="2"/>
      <c r="F836" s="2">
        <v>300</v>
      </c>
      <c r="G836" s="2">
        <v>1200</v>
      </c>
      <c r="H836" s="2">
        <v>4</v>
      </c>
      <c r="I836" s="2">
        <v>3</v>
      </c>
      <c r="J836" s="3">
        <f>IF(A836="Upgrade",IF(OR(H836=4,H836=5),VLOOKUP(I836,'Renewal Rates'!$A$22:$B$27,2,FALSE),2.7%),IF(A836="Renewal",100%,0%))</f>
        <v>0.21</v>
      </c>
      <c r="K836" s="2" t="s">
        <v>52</v>
      </c>
      <c r="L836" s="2">
        <v>385</v>
      </c>
      <c r="M836" s="2" t="s">
        <v>23</v>
      </c>
      <c r="N836" s="2" t="s">
        <v>24</v>
      </c>
      <c r="O836" s="4">
        <v>621379</v>
      </c>
      <c r="P836" s="4">
        <v>7301</v>
      </c>
      <c r="Q836" s="4">
        <v>211269</v>
      </c>
      <c r="R836" s="4">
        <v>832648</v>
      </c>
      <c r="S836" s="5">
        <v>0.4</v>
      </c>
      <c r="T836" s="4">
        <v>333059</v>
      </c>
      <c r="U836" s="4">
        <v>1165707</v>
      </c>
      <c r="V836" s="6">
        <f t="shared" si="26"/>
        <v>244798.47</v>
      </c>
      <c r="W836" s="6">
        <f t="shared" si="27"/>
        <v>920908.53</v>
      </c>
    </row>
    <row r="837" spans="1:23" x14ac:dyDescent="0.3">
      <c r="A837" s="2" t="s">
        <v>21</v>
      </c>
      <c r="B837" s="2">
        <v>3.0609999999999999</v>
      </c>
      <c r="C837" s="2">
        <v>2000454042</v>
      </c>
      <c r="D837" s="2">
        <v>58.8</v>
      </c>
      <c r="E837" s="2"/>
      <c r="F837" s="2">
        <v>300</v>
      </c>
      <c r="G837" s="2">
        <v>1200</v>
      </c>
      <c r="H837" s="2">
        <v>5</v>
      </c>
      <c r="I837" s="2">
        <v>3</v>
      </c>
      <c r="J837" s="3">
        <f>IF(A837="Upgrade",IF(OR(H837=4,H837=5),VLOOKUP(I837,'Renewal Rates'!$A$22:$B$27,2,FALSE),2.7%),IF(A837="Renewal",100%,0%))</f>
        <v>0.21</v>
      </c>
      <c r="K837" s="2" t="s">
        <v>52</v>
      </c>
      <c r="L837" s="2">
        <v>385</v>
      </c>
      <c r="M837" s="2" t="s">
        <v>23</v>
      </c>
      <c r="N837" s="2" t="s">
        <v>24</v>
      </c>
      <c r="O837" s="4">
        <v>468581</v>
      </c>
      <c r="P837" s="4">
        <v>7967</v>
      </c>
      <c r="Q837" s="4">
        <v>159318</v>
      </c>
      <c r="R837" s="4">
        <v>627898</v>
      </c>
      <c r="S837" s="5">
        <v>0.4</v>
      </c>
      <c r="T837" s="4">
        <v>251159</v>
      </c>
      <c r="U837" s="4">
        <v>879058</v>
      </c>
      <c r="V837" s="6">
        <f t="shared" si="26"/>
        <v>184602.18</v>
      </c>
      <c r="W837" s="6">
        <f t="shared" si="27"/>
        <v>694455.82000000007</v>
      </c>
    </row>
    <row r="838" spans="1:23" x14ac:dyDescent="0.3">
      <c r="A838" s="2" t="s">
        <v>21</v>
      </c>
      <c r="B838" s="2">
        <v>3.06</v>
      </c>
      <c r="C838" s="2">
        <v>2000161210</v>
      </c>
      <c r="D838" s="2">
        <v>40.5</v>
      </c>
      <c r="E838" s="2"/>
      <c r="F838" s="2">
        <v>300</v>
      </c>
      <c r="G838" s="2">
        <v>825</v>
      </c>
      <c r="H838" s="2">
        <v>4</v>
      </c>
      <c r="I838" s="2" t="s">
        <v>27</v>
      </c>
      <c r="J838" s="3">
        <f>IF(A838="Upgrade",IF(OR(H838=4,H838=5),VLOOKUP(I838,'Renewal Rates'!$A$22:$B$27,2,FALSE),2.7%),IF(A838="Renewal",100%,0%))</f>
        <v>0.116578</v>
      </c>
      <c r="K838" s="2" t="s">
        <v>52</v>
      </c>
      <c r="L838" s="2">
        <v>386</v>
      </c>
      <c r="M838" s="2" t="s">
        <v>23</v>
      </c>
      <c r="N838" s="2" t="s">
        <v>24</v>
      </c>
      <c r="O838" s="4">
        <v>188487</v>
      </c>
      <c r="P838" s="4">
        <v>4659</v>
      </c>
      <c r="Q838" s="4">
        <v>64086</v>
      </c>
      <c r="R838" s="4">
        <v>252573</v>
      </c>
      <c r="S838" s="5">
        <v>0.4</v>
      </c>
      <c r="T838" s="4">
        <v>101029</v>
      </c>
      <c r="U838" s="4">
        <v>353602</v>
      </c>
      <c r="V838" s="6">
        <f t="shared" si="26"/>
        <v>41222.213956</v>
      </c>
      <c r="W838" s="6">
        <f t="shared" si="27"/>
        <v>312379.78604400001</v>
      </c>
    </row>
    <row r="839" spans="1:23" x14ac:dyDescent="0.3">
      <c r="A839" s="2" t="s">
        <v>21</v>
      </c>
      <c r="B839" s="2">
        <v>3.06</v>
      </c>
      <c r="C839" s="2">
        <v>2000918440</v>
      </c>
      <c r="D839" s="2">
        <v>36.700000000000003</v>
      </c>
      <c r="E839" s="2"/>
      <c r="F839" s="2">
        <v>225</v>
      </c>
      <c r="G839" s="2">
        <v>825</v>
      </c>
      <c r="H839" s="2"/>
      <c r="I839" s="2"/>
      <c r="J839" s="3">
        <f>IF(A839="Upgrade",IF(OR(H839=4,H839=5),VLOOKUP(I839,'Renewal Rates'!$A$22:$B$27,2,FALSE),2.7%),IF(A839="Renewal",100%,0%))</f>
        <v>2.7000000000000003E-2</v>
      </c>
      <c r="K839" s="2" t="s">
        <v>52</v>
      </c>
      <c r="L839" s="2">
        <v>386</v>
      </c>
      <c r="M839" s="2" t="s">
        <v>23</v>
      </c>
      <c r="N839" s="2" t="s">
        <v>24</v>
      </c>
      <c r="O839" s="4">
        <v>182806</v>
      </c>
      <c r="P839" s="4">
        <v>4977</v>
      </c>
      <c r="Q839" s="4">
        <v>62154</v>
      </c>
      <c r="R839" s="4">
        <v>244961</v>
      </c>
      <c r="S839" s="5">
        <v>0.4</v>
      </c>
      <c r="T839" s="4">
        <v>97984</v>
      </c>
      <c r="U839" s="4">
        <v>342945</v>
      </c>
      <c r="V839" s="6">
        <f t="shared" si="26"/>
        <v>9259.5150000000012</v>
      </c>
      <c r="W839" s="6">
        <f t="shared" si="27"/>
        <v>333685.48499999999</v>
      </c>
    </row>
    <row r="840" spans="1:23" x14ac:dyDescent="0.3">
      <c r="A840" s="2" t="s">
        <v>21</v>
      </c>
      <c r="B840" s="2">
        <v>3.06</v>
      </c>
      <c r="C840" s="2">
        <v>2000348836</v>
      </c>
      <c r="D840" s="2">
        <v>65.099999999999994</v>
      </c>
      <c r="E840" s="2"/>
      <c r="F840" s="2">
        <v>225</v>
      </c>
      <c r="G840" s="2">
        <v>825</v>
      </c>
      <c r="H840" s="2">
        <v>4</v>
      </c>
      <c r="I840" s="2">
        <v>5</v>
      </c>
      <c r="J840" s="3">
        <f>IF(A840="Upgrade",IF(OR(H840=4,H840=5),VLOOKUP(I840,'Renewal Rates'!$A$22:$B$27,2,FALSE),2.7%),IF(A840="Renewal",100%,0%))</f>
        <v>0.7</v>
      </c>
      <c r="K840" s="2" t="s">
        <v>52</v>
      </c>
      <c r="L840" s="2">
        <v>386</v>
      </c>
      <c r="M840" s="2" t="s">
        <v>23</v>
      </c>
      <c r="N840" s="2" t="s">
        <v>24</v>
      </c>
      <c r="O840" s="4">
        <v>308306</v>
      </c>
      <c r="P840" s="4">
        <v>4739</v>
      </c>
      <c r="Q840" s="4">
        <v>104824</v>
      </c>
      <c r="R840" s="4">
        <v>413130</v>
      </c>
      <c r="S840" s="5">
        <v>0.4</v>
      </c>
      <c r="T840" s="4">
        <v>165252</v>
      </c>
      <c r="U840" s="4">
        <v>578383</v>
      </c>
      <c r="V840" s="6">
        <f t="shared" si="26"/>
        <v>404868.1</v>
      </c>
      <c r="W840" s="6">
        <f t="shared" si="27"/>
        <v>173514.90000000002</v>
      </c>
    </row>
    <row r="841" spans="1:23" x14ac:dyDescent="0.3">
      <c r="A841" s="2" t="s">
        <v>21</v>
      </c>
      <c r="B841" s="2">
        <v>3.06</v>
      </c>
      <c r="C841" s="2">
        <v>2000857901</v>
      </c>
      <c r="D841" s="2">
        <v>16.100000000000001</v>
      </c>
      <c r="E841" s="2"/>
      <c r="F841" s="2">
        <v>300</v>
      </c>
      <c r="G841" s="2">
        <v>825</v>
      </c>
      <c r="H841" s="2"/>
      <c r="I841" s="2"/>
      <c r="J841" s="3">
        <f>IF(A841="Upgrade",IF(OR(H841=4,H841=5),VLOOKUP(I841,'Renewal Rates'!$A$22:$B$27,2,FALSE),2.7%),IF(A841="Renewal",100%,0%))</f>
        <v>2.7000000000000003E-2</v>
      </c>
      <c r="K841" s="2" t="s">
        <v>52</v>
      </c>
      <c r="L841" s="2">
        <v>386</v>
      </c>
      <c r="M841" s="2" t="s">
        <v>23</v>
      </c>
      <c r="N841" s="2" t="s">
        <v>24</v>
      </c>
      <c r="O841" s="4">
        <v>116431</v>
      </c>
      <c r="P841" s="4">
        <v>7239</v>
      </c>
      <c r="Q841" s="4">
        <v>39586</v>
      </c>
      <c r="R841" s="4">
        <v>156017</v>
      </c>
      <c r="S841" s="5">
        <v>0.4</v>
      </c>
      <c r="T841" s="4">
        <v>62407</v>
      </c>
      <c r="U841" s="4">
        <v>218424</v>
      </c>
      <c r="V841" s="6">
        <f t="shared" si="26"/>
        <v>5897.4480000000003</v>
      </c>
      <c r="W841" s="6">
        <f t="shared" si="27"/>
        <v>212526.552</v>
      </c>
    </row>
    <row r="842" spans="1:23" x14ac:dyDescent="0.3">
      <c r="A842" s="2" t="s">
        <v>21</v>
      </c>
      <c r="B842" s="2">
        <v>3.0590000000000002</v>
      </c>
      <c r="C842" s="2">
        <v>2000054615</v>
      </c>
      <c r="D842" s="2">
        <v>42.4</v>
      </c>
      <c r="E842" s="2"/>
      <c r="F842" s="2">
        <v>300</v>
      </c>
      <c r="G842" s="2">
        <v>675</v>
      </c>
      <c r="H842" s="2"/>
      <c r="I842" s="2"/>
      <c r="J842" s="3">
        <f>IF(A842="Upgrade",IF(OR(H842=4,H842=5),VLOOKUP(I842,'Renewal Rates'!$A$22:$B$27,2,FALSE),2.7%),IF(A842="Renewal",100%,0%))</f>
        <v>2.7000000000000003E-2</v>
      </c>
      <c r="K842" s="2" t="s">
        <v>53</v>
      </c>
      <c r="L842" s="2">
        <v>386</v>
      </c>
      <c r="M842" s="2" t="s">
        <v>23</v>
      </c>
      <c r="N842" s="2" t="s">
        <v>24</v>
      </c>
      <c r="O842" s="4">
        <v>178513</v>
      </c>
      <c r="P842" s="4">
        <v>4209</v>
      </c>
      <c r="Q842" s="4">
        <v>60694</v>
      </c>
      <c r="R842" s="4">
        <v>239207</v>
      </c>
      <c r="S842" s="5">
        <v>0.4</v>
      </c>
      <c r="T842" s="4">
        <v>95683</v>
      </c>
      <c r="U842" s="4">
        <v>334890</v>
      </c>
      <c r="V842" s="6">
        <f t="shared" si="26"/>
        <v>9042.0300000000007</v>
      </c>
      <c r="W842" s="6">
        <f t="shared" si="27"/>
        <v>325847.96999999997</v>
      </c>
    </row>
    <row r="843" spans="1:23" x14ac:dyDescent="0.3">
      <c r="A843" s="2" t="s">
        <v>21</v>
      </c>
      <c r="B843" s="2">
        <v>3.0590000000000002</v>
      </c>
      <c r="C843" s="2">
        <v>2000751192</v>
      </c>
      <c r="D843" s="2">
        <v>80.7</v>
      </c>
      <c r="E843" s="2"/>
      <c r="F843" s="2">
        <v>225</v>
      </c>
      <c r="G843" s="2">
        <v>675</v>
      </c>
      <c r="H843" s="2">
        <v>4</v>
      </c>
      <c r="I843" s="2">
        <v>5</v>
      </c>
      <c r="J843" s="3">
        <f>IF(A843="Upgrade",IF(OR(H843=4,H843=5),VLOOKUP(I843,'Renewal Rates'!$A$22:$B$27,2,FALSE),2.7%),IF(A843="Renewal",100%,0%))</f>
        <v>0.7</v>
      </c>
      <c r="K843" s="2" t="s">
        <v>53</v>
      </c>
      <c r="L843" s="2">
        <v>386</v>
      </c>
      <c r="M843" s="2" t="s">
        <v>23</v>
      </c>
      <c r="N843" s="2" t="s">
        <v>24</v>
      </c>
      <c r="O843" s="4">
        <v>307578</v>
      </c>
      <c r="P843" s="4">
        <v>3812</v>
      </c>
      <c r="Q843" s="4">
        <v>104576</v>
      </c>
      <c r="R843" s="4">
        <v>412154</v>
      </c>
      <c r="S843" s="5">
        <v>0.4</v>
      </c>
      <c r="T843" s="4">
        <v>164862</v>
      </c>
      <c r="U843" s="4">
        <v>577016</v>
      </c>
      <c r="V843" s="6">
        <f t="shared" si="26"/>
        <v>403911.19999999995</v>
      </c>
      <c r="W843" s="6">
        <f t="shared" si="27"/>
        <v>173104.80000000005</v>
      </c>
    </row>
    <row r="844" spans="1:23" x14ac:dyDescent="0.3">
      <c r="A844" s="2" t="s">
        <v>21</v>
      </c>
      <c r="B844" s="2">
        <v>3.0590000000000002</v>
      </c>
      <c r="C844" s="2">
        <v>2000134872</v>
      </c>
      <c r="D844" s="2">
        <v>15.4</v>
      </c>
      <c r="E844" s="2"/>
      <c r="F844" s="2">
        <v>225</v>
      </c>
      <c r="G844" s="2">
        <v>675</v>
      </c>
      <c r="H844" s="2">
        <v>4</v>
      </c>
      <c r="I844" s="2">
        <v>4</v>
      </c>
      <c r="J844" s="3">
        <f>IF(A844="Upgrade",IF(OR(H844=4,H844=5),VLOOKUP(I844,'Renewal Rates'!$A$22:$B$27,2,FALSE),2.7%),IF(A844="Renewal",100%,0%))</f>
        <v>0.7</v>
      </c>
      <c r="K844" s="2" t="s">
        <v>53</v>
      </c>
      <c r="L844" s="2">
        <v>386</v>
      </c>
      <c r="M844" s="2" t="s">
        <v>23</v>
      </c>
      <c r="N844" s="2" t="s">
        <v>24</v>
      </c>
      <c r="O844" s="4">
        <v>87909</v>
      </c>
      <c r="P844" s="4">
        <v>5698</v>
      </c>
      <c r="Q844" s="4">
        <v>29889</v>
      </c>
      <c r="R844" s="4">
        <v>117798</v>
      </c>
      <c r="S844" s="5">
        <v>0.4</v>
      </c>
      <c r="T844" s="4">
        <v>47119</v>
      </c>
      <c r="U844" s="4">
        <v>164917</v>
      </c>
      <c r="V844" s="6">
        <f t="shared" si="26"/>
        <v>115441.9</v>
      </c>
      <c r="W844" s="6">
        <f t="shared" si="27"/>
        <v>49475.100000000006</v>
      </c>
    </row>
    <row r="845" spans="1:23" x14ac:dyDescent="0.3">
      <c r="A845" s="2" t="s">
        <v>21</v>
      </c>
      <c r="B845" s="2">
        <v>3.0379999999999998</v>
      </c>
      <c r="C845" s="2">
        <v>2000105747</v>
      </c>
      <c r="D845" s="2">
        <v>65.599999999999994</v>
      </c>
      <c r="E845" s="2"/>
      <c r="F845" s="2">
        <v>300</v>
      </c>
      <c r="G845" s="2">
        <v>975</v>
      </c>
      <c r="H845" s="2"/>
      <c r="I845" s="2"/>
      <c r="J845" s="3">
        <f>IF(A845="Upgrade",IF(OR(H845=4,H845=5),VLOOKUP(I845,'Renewal Rates'!$A$22:$B$27,2,FALSE),2.7%),IF(A845="Renewal",100%,0%))</f>
        <v>2.7000000000000003E-2</v>
      </c>
      <c r="K845" s="2" t="s">
        <v>53</v>
      </c>
      <c r="L845" s="2">
        <v>386</v>
      </c>
      <c r="M845" s="2" t="s">
        <v>23</v>
      </c>
      <c r="N845" s="2" t="s">
        <v>24</v>
      </c>
      <c r="O845" s="4">
        <v>408911</v>
      </c>
      <c r="P845" s="4">
        <v>6233</v>
      </c>
      <c r="Q845" s="4">
        <v>139030</v>
      </c>
      <c r="R845" s="4">
        <v>547941</v>
      </c>
      <c r="S845" s="5">
        <v>0.4</v>
      </c>
      <c r="T845" s="4">
        <v>219176</v>
      </c>
      <c r="U845" s="4">
        <v>767117</v>
      </c>
      <c r="V845" s="6">
        <f t="shared" si="26"/>
        <v>20712.159000000003</v>
      </c>
      <c r="W845" s="6">
        <f t="shared" si="27"/>
        <v>746404.84100000001</v>
      </c>
    </row>
    <row r="846" spans="1:23" x14ac:dyDescent="0.3">
      <c r="A846" s="2" t="s">
        <v>21</v>
      </c>
      <c r="B846" s="2">
        <v>3.0379999999999998</v>
      </c>
      <c r="C846" s="2">
        <v>2000881721</v>
      </c>
      <c r="D846" s="2">
        <v>14.3</v>
      </c>
      <c r="E846" s="2"/>
      <c r="F846" s="2">
        <v>300</v>
      </c>
      <c r="G846" s="2">
        <v>975</v>
      </c>
      <c r="H846" s="2"/>
      <c r="I846" s="2"/>
      <c r="J846" s="3">
        <f>IF(A846="Upgrade",IF(OR(H846=4,H846=5),VLOOKUP(I846,'Renewal Rates'!$A$22:$B$27,2,FALSE),2.7%),IF(A846="Renewal",100%,0%))</f>
        <v>2.7000000000000003E-2</v>
      </c>
      <c r="K846" s="2" t="s">
        <v>53</v>
      </c>
      <c r="L846" s="2">
        <v>386</v>
      </c>
      <c r="M846" s="2" t="s">
        <v>23</v>
      </c>
      <c r="N846" s="2" t="s">
        <v>24</v>
      </c>
      <c r="O846" s="4">
        <v>116242</v>
      </c>
      <c r="P846" s="4">
        <v>8121</v>
      </c>
      <c r="Q846" s="4">
        <v>39522</v>
      </c>
      <c r="R846" s="4">
        <v>155764</v>
      </c>
      <c r="S846" s="5">
        <v>0.4</v>
      </c>
      <c r="T846" s="4">
        <v>62306</v>
      </c>
      <c r="U846" s="4">
        <v>218070</v>
      </c>
      <c r="V846" s="6">
        <f t="shared" si="26"/>
        <v>5887.89</v>
      </c>
      <c r="W846" s="6">
        <f t="shared" si="27"/>
        <v>212182.11</v>
      </c>
    </row>
    <row r="847" spans="1:23" x14ac:dyDescent="0.3">
      <c r="A847" s="2" t="s">
        <v>21</v>
      </c>
      <c r="B847" s="2">
        <v>3.0379999999999998</v>
      </c>
      <c r="C847" s="2">
        <v>2000188334</v>
      </c>
      <c r="D847" s="2">
        <v>11.1</v>
      </c>
      <c r="E847" s="2"/>
      <c r="F847" s="2">
        <v>300</v>
      </c>
      <c r="G847" s="2">
        <v>975</v>
      </c>
      <c r="H847" s="2"/>
      <c r="I847" s="2"/>
      <c r="J847" s="3">
        <f>IF(A847="Upgrade",IF(OR(H847=4,H847=5),VLOOKUP(I847,'Renewal Rates'!$A$22:$B$27,2,FALSE),2.7%),IF(A847="Renewal",100%,0%))</f>
        <v>2.7000000000000003E-2</v>
      </c>
      <c r="K847" s="2" t="s">
        <v>53</v>
      </c>
      <c r="L847" s="2">
        <v>386</v>
      </c>
      <c r="M847" s="2" t="s">
        <v>23</v>
      </c>
      <c r="N847" s="2" t="s">
        <v>24</v>
      </c>
      <c r="O847" s="4">
        <v>110191</v>
      </c>
      <c r="P847" s="4">
        <v>9970</v>
      </c>
      <c r="Q847" s="4">
        <v>37465</v>
      </c>
      <c r="R847" s="4">
        <v>147656</v>
      </c>
      <c r="S847" s="5">
        <v>0.4</v>
      </c>
      <c r="T847" s="4">
        <v>59062</v>
      </c>
      <c r="U847" s="4">
        <v>206718</v>
      </c>
      <c r="V847" s="6">
        <f t="shared" si="26"/>
        <v>5581.3860000000004</v>
      </c>
      <c r="W847" s="6">
        <f t="shared" si="27"/>
        <v>201136.614</v>
      </c>
    </row>
    <row r="848" spans="1:23" x14ac:dyDescent="0.3">
      <c r="A848" s="2" t="s">
        <v>25</v>
      </c>
      <c r="B848" s="2">
        <v>3.0169999999999999</v>
      </c>
      <c r="C848" s="2"/>
      <c r="D848" s="2"/>
      <c r="E848" s="2">
        <v>122.5</v>
      </c>
      <c r="F848" s="2"/>
      <c r="G848" s="2">
        <v>525</v>
      </c>
      <c r="H848" s="2"/>
      <c r="I848" s="2"/>
      <c r="J848" s="3">
        <f>IF(A848="Upgrade",IF(OR(H848=4,H848=5),VLOOKUP(I848,'Renewal Rates'!$A$22:$B$27,2,FALSE),2.7%),IF(A848="Renewal",100%,0%))</f>
        <v>0</v>
      </c>
      <c r="K848" s="2" t="s">
        <v>52</v>
      </c>
      <c r="L848" s="2">
        <v>386</v>
      </c>
      <c r="M848" s="2" t="s">
        <v>23</v>
      </c>
      <c r="N848" s="2" t="s">
        <v>24</v>
      </c>
      <c r="O848" s="4">
        <v>363517</v>
      </c>
      <c r="P848" s="4">
        <v>2968</v>
      </c>
      <c r="Q848" s="4">
        <v>123596</v>
      </c>
      <c r="R848" s="4">
        <v>487113</v>
      </c>
      <c r="S848" s="5">
        <v>0.4</v>
      </c>
      <c r="T848" s="4">
        <v>194845</v>
      </c>
      <c r="U848" s="4">
        <v>681959</v>
      </c>
      <c r="V848" s="6">
        <f t="shared" si="26"/>
        <v>0</v>
      </c>
      <c r="W848" s="6">
        <f t="shared" si="27"/>
        <v>681959</v>
      </c>
    </row>
    <row r="849" spans="1:23" x14ac:dyDescent="0.3">
      <c r="A849" s="2" t="s">
        <v>25</v>
      </c>
      <c r="B849" s="2">
        <v>3.016</v>
      </c>
      <c r="C849" s="2"/>
      <c r="D849" s="2"/>
      <c r="E849" s="2">
        <v>57.2</v>
      </c>
      <c r="F849" s="2"/>
      <c r="G849" s="2">
        <v>375</v>
      </c>
      <c r="H849" s="2"/>
      <c r="I849" s="2"/>
      <c r="J849" s="3">
        <f>IF(A849="Upgrade",IF(OR(H849=4,H849=5),VLOOKUP(I849,'Renewal Rates'!$A$22:$B$27,2,FALSE),2.7%),IF(A849="Renewal",100%,0%))</f>
        <v>0</v>
      </c>
      <c r="K849" s="2" t="s">
        <v>53</v>
      </c>
      <c r="L849" s="2">
        <v>385</v>
      </c>
      <c r="M849" s="2" t="s">
        <v>23</v>
      </c>
      <c r="N849" s="2" t="s">
        <v>24</v>
      </c>
      <c r="O849" s="4">
        <v>135384</v>
      </c>
      <c r="P849" s="4">
        <v>2368</v>
      </c>
      <c r="Q849" s="4">
        <v>46031</v>
      </c>
      <c r="R849" s="4">
        <v>181415</v>
      </c>
      <c r="S849" s="5">
        <v>0.4</v>
      </c>
      <c r="T849" s="4">
        <v>72566</v>
      </c>
      <c r="U849" s="4">
        <v>253981</v>
      </c>
      <c r="V849" s="6">
        <f t="shared" si="26"/>
        <v>0</v>
      </c>
      <c r="W849" s="6">
        <f t="shared" si="27"/>
        <v>253981</v>
      </c>
    </row>
    <row r="850" spans="1:23" x14ac:dyDescent="0.3">
      <c r="A850" s="2" t="s">
        <v>25</v>
      </c>
      <c r="B850" s="2">
        <v>3.0579999999999998</v>
      </c>
      <c r="C850" s="2"/>
      <c r="D850" s="2"/>
      <c r="E850" s="2">
        <v>167</v>
      </c>
      <c r="F850" s="2"/>
      <c r="G850" s="2">
        <v>900</v>
      </c>
      <c r="H850" s="2"/>
      <c r="I850" s="2"/>
      <c r="J850" s="3">
        <f>IF(A850="Upgrade",IF(OR(H850=4,H850=5),VLOOKUP(I850,'Renewal Rates'!$A$22:$B$27,2,FALSE),2.7%),IF(A850="Renewal",100%,0%))</f>
        <v>0</v>
      </c>
      <c r="K850" s="2" t="s">
        <v>53</v>
      </c>
      <c r="L850" s="2">
        <v>385</v>
      </c>
      <c r="M850" s="2" t="s">
        <v>23</v>
      </c>
      <c r="N850" s="2" t="s">
        <v>24</v>
      </c>
      <c r="O850" s="4">
        <v>904536</v>
      </c>
      <c r="P850" s="4">
        <v>5415</v>
      </c>
      <c r="Q850" s="4">
        <v>307542</v>
      </c>
      <c r="R850" s="4">
        <v>1212079</v>
      </c>
      <c r="S850" s="5">
        <v>0.4</v>
      </c>
      <c r="T850" s="4">
        <v>484831</v>
      </c>
      <c r="U850" s="4">
        <v>1696910</v>
      </c>
      <c r="V850" s="6">
        <f t="shared" si="26"/>
        <v>0</v>
      </c>
      <c r="W850" s="6">
        <f t="shared" si="27"/>
        <v>1696910</v>
      </c>
    </row>
    <row r="851" spans="1:23" x14ac:dyDescent="0.3">
      <c r="A851" s="2" t="s">
        <v>25</v>
      </c>
      <c r="B851" s="2">
        <v>3.0150000000000001</v>
      </c>
      <c r="C851" s="2"/>
      <c r="D851" s="2"/>
      <c r="E851" s="2">
        <v>62.3</v>
      </c>
      <c r="F851" s="2"/>
      <c r="G851" s="2">
        <v>525</v>
      </c>
      <c r="H851" s="2"/>
      <c r="I851" s="2"/>
      <c r="J851" s="3">
        <f>IF(A851="Upgrade",IF(OR(H851=4,H851=5),VLOOKUP(I851,'Renewal Rates'!$A$22:$B$27,2,FALSE),2.7%),IF(A851="Renewal",100%,0%))</f>
        <v>0</v>
      </c>
      <c r="K851" s="2" t="s">
        <v>51</v>
      </c>
      <c r="L851" s="2">
        <v>385</v>
      </c>
      <c r="M851" s="2" t="s">
        <v>23</v>
      </c>
      <c r="N851" s="2" t="s">
        <v>24</v>
      </c>
      <c r="O851" s="4">
        <v>194906</v>
      </c>
      <c r="P851" s="4">
        <v>3130</v>
      </c>
      <c r="Q851" s="4">
        <v>66268</v>
      </c>
      <c r="R851" s="4">
        <v>261174</v>
      </c>
      <c r="S851" s="5">
        <v>0.4</v>
      </c>
      <c r="T851" s="4">
        <v>104469</v>
      </c>
      <c r="U851" s="4">
        <v>365643</v>
      </c>
      <c r="V851" s="6">
        <f t="shared" si="26"/>
        <v>0</v>
      </c>
      <c r="W851" s="6">
        <f t="shared" si="27"/>
        <v>365643</v>
      </c>
    </row>
    <row r="852" spans="1:23" x14ac:dyDescent="0.3">
      <c r="A852" s="2" t="s">
        <v>25</v>
      </c>
      <c r="B852" s="2">
        <v>3.0049999999999999</v>
      </c>
      <c r="C852" s="2"/>
      <c r="D852" s="2"/>
      <c r="E852" s="2">
        <v>168.5</v>
      </c>
      <c r="F852" s="2"/>
      <c r="G852" s="2">
        <v>675</v>
      </c>
      <c r="H852" s="2"/>
      <c r="I852" s="2"/>
      <c r="J852" s="3">
        <f>IF(A852="Upgrade",IF(OR(H852=4,H852=5),VLOOKUP(I852,'Renewal Rates'!$A$22:$B$27,2,FALSE),2.7%),IF(A852="Renewal",100%,0%))</f>
        <v>0</v>
      </c>
      <c r="K852" s="2" t="s">
        <v>51</v>
      </c>
      <c r="L852" s="2">
        <v>385</v>
      </c>
      <c r="M852" s="2" t="s">
        <v>23</v>
      </c>
      <c r="N852" s="2" t="s">
        <v>24</v>
      </c>
      <c r="O852" s="4">
        <v>637522</v>
      </c>
      <c r="P852" s="4">
        <v>3783</v>
      </c>
      <c r="Q852" s="4">
        <v>216758</v>
      </c>
      <c r="R852" s="4">
        <v>854280</v>
      </c>
      <c r="S852" s="5">
        <v>0.4</v>
      </c>
      <c r="T852" s="4">
        <v>341712</v>
      </c>
      <c r="U852" s="4">
        <v>1195992</v>
      </c>
      <c r="V852" s="6">
        <f t="shared" si="26"/>
        <v>0</v>
      </c>
      <c r="W852" s="6">
        <f t="shared" si="27"/>
        <v>1195992</v>
      </c>
    </row>
    <row r="853" spans="1:23" x14ac:dyDescent="0.3">
      <c r="A853" s="2" t="s">
        <v>25</v>
      </c>
      <c r="B853" s="2">
        <v>3.0059999999999998</v>
      </c>
      <c r="C853" s="2"/>
      <c r="D853" s="2"/>
      <c r="E853" s="2">
        <v>183.8</v>
      </c>
      <c r="F853" s="2"/>
      <c r="G853" s="2">
        <v>600</v>
      </c>
      <c r="H853" s="2"/>
      <c r="I853" s="2"/>
      <c r="J853" s="3">
        <f>IF(A853="Upgrade",IF(OR(H853=4,H853=5),VLOOKUP(I853,'Renewal Rates'!$A$22:$B$27,2,FALSE),2.7%),IF(A853="Renewal",100%,0%))</f>
        <v>0</v>
      </c>
      <c r="K853" s="2" t="s">
        <v>49</v>
      </c>
      <c r="L853" s="2">
        <v>386</v>
      </c>
      <c r="M853" s="2" t="s">
        <v>23</v>
      </c>
      <c r="N853" s="2" t="s">
        <v>24</v>
      </c>
      <c r="O853" s="4">
        <v>580335</v>
      </c>
      <c r="P853" s="4">
        <v>3157</v>
      </c>
      <c r="Q853" s="4">
        <v>197314</v>
      </c>
      <c r="R853" s="4">
        <v>777649</v>
      </c>
      <c r="S853" s="5">
        <v>0.4</v>
      </c>
      <c r="T853" s="4">
        <v>311060</v>
      </c>
      <c r="U853" s="4">
        <v>1088708</v>
      </c>
      <c r="V853" s="6">
        <f t="shared" si="26"/>
        <v>0</v>
      </c>
      <c r="W853" s="6">
        <f t="shared" si="27"/>
        <v>1088708</v>
      </c>
    </row>
    <row r="854" spans="1:23" x14ac:dyDescent="0.3">
      <c r="A854" s="2" t="s">
        <v>25</v>
      </c>
      <c r="B854" s="2">
        <v>3.0270000000000001</v>
      </c>
      <c r="C854" s="2"/>
      <c r="D854" s="2"/>
      <c r="E854" s="2">
        <v>33.4</v>
      </c>
      <c r="F854" s="2"/>
      <c r="G854" s="2">
        <v>375</v>
      </c>
      <c r="H854" s="2"/>
      <c r="I854" s="2"/>
      <c r="J854" s="3">
        <f>IF(A854="Upgrade",IF(OR(H854=4,H854=5),VLOOKUP(I854,'Renewal Rates'!$A$22:$B$27,2,FALSE),2.7%),IF(A854="Renewal",100%,0%))</f>
        <v>0</v>
      </c>
      <c r="K854" s="2" t="s">
        <v>52</v>
      </c>
      <c r="L854" s="2">
        <v>387</v>
      </c>
      <c r="M854" s="2" t="s">
        <v>23</v>
      </c>
      <c r="N854" s="2" t="s">
        <v>24</v>
      </c>
      <c r="O854" s="4">
        <v>102597</v>
      </c>
      <c r="P854" s="4">
        <v>3075</v>
      </c>
      <c r="Q854" s="4">
        <v>34883</v>
      </c>
      <c r="R854" s="4">
        <v>137480</v>
      </c>
      <c r="S854" s="5">
        <v>0.4</v>
      </c>
      <c r="T854" s="4">
        <v>54992</v>
      </c>
      <c r="U854" s="4">
        <v>192472</v>
      </c>
      <c r="V854" s="6">
        <f t="shared" si="26"/>
        <v>0</v>
      </c>
      <c r="W854" s="6">
        <f t="shared" si="27"/>
        <v>192472</v>
      </c>
    </row>
    <row r="855" spans="1:23" x14ac:dyDescent="0.3">
      <c r="A855" s="2" t="s">
        <v>25</v>
      </c>
      <c r="B855" s="2">
        <v>3.0259999999999998</v>
      </c>
      <c r="C855" s="2"/>
      <c r="D855" s="2"/>
      <c r="E855" s="2">
        <v>105.7</v>
      </c>
      <c r="F855" s="2"/>
      <c r="G855" s="2">
        <v>525</v>
      </c>
      <c r="H855" s="2"/>
      <c r="I855" s="2"/>
      <c r="J855" s="3">
        <f>IF(A855="Upgrade",IF(OR(H855=4,H855=5),VLOOKUP(I855,'Renewal Rates'!$A$22:$B$27,2,FALSE),2.7%),IF(A855="Renewal",100%,0%))</f>
        <v>0</v>
      </c>
      <c r="K855" s="2" t="s">
        <v>52</v>
      </c>
      <c r="L855" s="2">
        <v>387</v>
      </c>
      <c r="M855" s="2" t="s">
        <v>23</v>
      </c>
      <c r="N855" s="2" t="s">
        <v>24</v>
      </c>
      <c r="O855" s="4">
        <v>329425</v>
      </c>
      <c r="P855" s="4">
        <v>3117</v>
      </c>
      <c r="Q855" s="4">
        <v>112004</v>
      </c>
      <c r="R855" s="4">
        <v>441429</v>
      </c>
      <c r="S855" s="5">
        <v>0.4</v>
      </c>
      <c r="T855" s="4">
        <v>176572</v>
      </c>
      <c r="U855" s="4">
        <v>618001</v>
      </c>
      <c r="V855" s="6">
        <f t="shared" si="26"/>
        <v>0</v>
      </c>
      <c r="W855" s="6">
        <f t="shared" si="27"/>
        <v>618001</v>
      </c>
    </row>
    <row r="856" spans="1:23" x14ac:dyDescent="0.3">
      <c r="A856" s="2" t="s">
        <v>21</v>
      </c>
      <c r="B856" s="2">
        <v>3.0459999999999998</v>
      </c>
      <c r="C856" s="2">
        <v>3000044875</v>
      </c>
      <c r="D856" s="2">
        <v>92.3</v>
      </c>
      <c r="E856" s="2"/>
      <c r="F856" s="2">
        <v>225</v>
      </c>
      <c r="G856" s="2">
        <v>975</v>
      </c>
      <c r="H856" s="2"/>
      <c r="I856" s="2"/>
      <c r="J856" s="3">
        <f>IF(A856="Upgrade",IF(OR(H856=4,H856=5),VLOOKUP(I856,'Renewal Rates'!$A$22:$B$27,2,FALSE),2.7%),IF(A856="Renewal",100%,0%))</f>
        <v>2.7000000000000003E-2</v>
      </c>
      <c r="K856" s="2" t="s">
        <v>52</v>
      </c>
      <c r="L856" s="2">
        <v>386</v>
      </c>
      <c r="M856" s="2" t="s">
        <v>23</v>
      </c>
      <c r="N856" s="2" t="s">
        <v>24</v>
      </c>
      <c r="O856" s="4">
        <v>588120</v>
      </c>
      <c r="P856" s="4">
        <v>6374</v>
      </c>
      <c r="Q856" s="4">
        <v>199961</v>
      </c>
      <c r="R856" s="4">
        <v>788081</v>
      </c>
      <c r="S856" s="5">
        <v>0.4</v>
      </c>
      <c r="T856" s="4">
        <v>315232</v>
      </c>
      <c r="U856" s="4">
        <v>1103314</v>
      </c>
      <c r="V856" s="6">
        <f t="shared" si="26"/>
        <v>29789.478000000003</v>
      </c>
      <c r="W856" s="6">
        <f t="shared" si="27"/>
        <v>1073524.5219999999</v>
      </c>
    </row>
    <row r="857" spans="1:23" x14ac:dyDescent="0.3">
      <c r="A857" s="2" t="s">
        <v>21</v>
      </c>
      <c r="B857" s="2">
        <v>3.0459999999999998</v>
      </c>
      <c r="C857" s="2">
        <v>2000345441</v>
      </c>
      <c r="D857" s="2">
        <v>15.8</v>
      </c>
      <c r="E857" s="2"/>
      <c r="F857" s="2">
        <v>300</v>
      </c>
      <c r="G857" s="2">
        <v>975</v>
      </c>
      <c r="H857" s="2"/>
      <c r="I857" s="2"/>
      <c r="J857" s="3">
        <f>IF(A857="Upgrade",IF(OR(H857=4,H857=5),VLOOKUP(I857,'Renewal Rates'!$A$22:$B$27,2,FALSE),2.7%),IF(A857="Renewal",100%,0%))</f>
        <v>2.7000000000000003E-2</v>
      </c>
      <c r="K857" s="2" t="s">
        <v>52</v>
      </c>
      <c r="L857" s="2">
        <v>386</v>
      </c>
      <c r="M857" s="2" t="s">
        <v>23</v>
      </c>
      <c r="N857" s="2" t="s">
        <v>24</v>
      </c>
      <c r="O857" s="4">
        <v>141645</v>
      </c>
      <c r="P857" s="4">
        <v>8977</v>
      </c>
      <c r="Q857" s="4">
        <v>48159</v>
      </c>
      <c r="R857" s="4">
        <v>189804</v>
      </c>
      <c r="S857" s="5">
        <v>0.4</v>
      </c>
      <c r="T857" s="4">
        <v>75922</v>
      </c>
      <c r="U857" s="4">
        <v>265726</v>
      </c>
      <c r="V857" s="6">
        <f t="shared" si="26"/>
        <v>7174.6020000000008</v>
      </c>
      <c r="W857" s="6">
        <f t="shared" si="27"/>
        <v>258551.39799999999</v>
      </c>
    </row>
    <row r="858" spans="1:23" x14ac:dyDescent="0.3">
      <c r="A858" s="2" t="s">
        <v>21</v>
      </c>
      <c r="B858" s="2">
        <v>3.0459999999999998</v>
      </c>
      <c r="C858" s="2">
        <v>2000317962</v>
      </c>
      <c r="D858" s="2">
        <v>13.4</v>
      </c>
      <c r="E858" s="2"/>
      <c r="F858" s="2">
        <v>300</v>
      </c>
      <c r="G858" s="2">
        <v>975</v>
      </c>
      <c r="H858" s="2"/>
      <c r="I858" s="2"/>
      <c r="J858" s="3">
        <f>IF(A858="Upgrade",IF(OR(H858=4,H858=5),VLOOKUP(I858,'Renewal Rates'!$A$22:$B$27,2,FALSE),2.7%),IF(A858="Renewal",100%,0%))</f>
        <v>2.7000000000000003E-2</v>
      </c>
      <c r="K858" s="2" t="s">
        <v>52</v>
      </c>
      <c r="L858" s="2">
        <v>386</v>
      </c>
      <c r="M858" s="2" t="s">
        <v>23</v>
      </c>
      <c r="N858" s="2" t="s">
        <v>24</v>
      </c>
      <c r="O858" s="4">
        <v>114633</v>
      </c>
      <c r="P858" s="4">
        <v>8525</v>
      </c>
      <c r="Q858" s="4">
        <v>38975</v>
      </c>
      <c r="R858" s="4">
        <v>153608</v>
      </c>
      <c r="S858" s="5">
        <v>0.4</v>
      </c>
      <c r="T858" s="4">
        <v>61443</v>
      </c>
      <c r="U858" s="4">
        <v>215052</v>
      </c>
      <c r="V858" s="6">
        <f t="shared" si="26"/>
        <v>5806.4040000000005</v>
      </c>
      <c r="W858" s="6">
        <f t="shared" si="27"/>
        <v>209245.59599999999</v>
      </c>
    </row>
    <row r="859" spans="1:23" x14ac:dyDescent="0.3">
      <c r="A859" s="2" t="s">
        <v>21</v>
      </c>
      <c r="B859" s="2">
        <v>3.0459999999999998</v>
      </c>
      <c r="C859" s="2">
        <v>2000967108</v>
      </c>
      <c r="D859" s="2">
        <v>32.799999999999997</v>
      </c>
      <c r="E859" s="2"/>
      <c r="F859" s="2">
        <v>300</v>
      </c>
      <c r="G859" s="2">
        <v>975</v>
      </c>
      <c r="H859" s="2"/>
      <c r="I859" s="2"/>
      <c r="J859" s="3">
        <f>IF(A859="Upgrade",IF(OR(H859=4,H859=5),VLOOKUP(I859,'Renewal Rates'!$A$22:$B$27,2,FALSE),2.7%),IF(A859="Renewal",100%,0%))</f>
        <v>2.7000000000000003E-2</v>
      </c>
      <c r="K859" s="2" t="s">
        <v>52</v>
      </c>
      <c r="L859" s="2">
        <v>386</v>
      </c>
      <c r="M859" s="2" t="s">
        <v>23</v>
      </c>
      <c r="N859" s="2" t="s">
        <v>24</v>
      </c>
      <c r="O859" s="4">
        <v>218524</v>
      </c>
      <c r="P859" s="4">
        <v>6671</v>
      </c>
      <c r="Q859" s="4">
        <v>74298</v>
      </c>
      <c r="R859" s="4">
        <v>292822</v>
      </c>
      <c r="S859" s="5">
        <v>0.4</v>
      </c>
      <c r="T859" s="4">
        <v>117129</v>
      </c>
      <c r="U859" s="4">
        <v>409951</v>
      </c>
      <c r="V859" s="6">
        <f t="shared" si="26"/>
        <v>11068.677000000001</v>
      </c>
      <c r="W859" s="6">
        <f t="shared" si="27"/>
        <v>398882.32299999997</v>
      </c>
    </row>
    <row r="860" spans="1:23" x14ac:dyDescent="0.3">
      <c r="A860" s="2" t="s">
        <v>21</v>
      </c>
      <c r="B860" s="2">
        <v>3.0459999999999998</v>
      </c>
      <c r="C860" s="2">
        <v>2000362035</v>
      </c>
      <c r="D860" s="2">
        <v>40.799999999999997</v>
      </c>
      <c r="E860" s="2"/>
      <c r="F860" s="2">
        <v>225</v>
      </c>
      <c r="G860" s="2">
        <v>975</v>
      </c>
      <c r="H860" s="2"/>
      <c r="I860" s="2"/>
      <c r="J860" s="3">
        <f>IF(A860="Upgrade",IF(OR(H860=4,H860=5),VLOOKUP(I860,'Renewal Rates'!$A$22:$B$27,2,FALSE),2.7%),IF(A860="Renewal",100%,0%))</f>
        <v>2.7000000000000003E-2</v>
      </c>
      <c r="K860" s="2" t="s">
        <v>54</v>
      </c>
      <c r="L860" s="2">
        <v>386</v>
      </c>
      <c r="M860" s="2" t="s">
        <v>23</v>
      </c>
      <c r="N860" s="2" t="s">
        <v>24</v>
      </c>
      <c r="O860" s="4">
        <v>256208</v>
      </c>
      <c r="P860" s="4">
        <v>6273</v>
      </c>
      <c r="Q860" s="4">
        <v>87111</v>
      </c>
      <c r="R860" s="4">
        <v>343319</v>
      </c>
      <c r="S860" s="5">
        <v>0.4</v>
      </c>
      <c r="T860" s="4">
        <v>137328</v>
      </c>
      <c r="U860" s="4">
        <v>480647</v>
      </c>
      <c r="V860" s="6">
        <f t="shared" si="26"/>
        <v>12977.469000000001</v>
      </c>
      <c r="W860" s="6">
        <f t="shared" si="27"/>
        <v>467669.53100000002</v>
      </c>
    </row>
    <row r="861" spans="1:23" x14ac:dyDescent="0.3">
      <c r="A861" s="2" t="s">
        <v>21</v>
      </c>
      <c r="B861" s="2">
        <v>3.0459999999999998</v>
      </c>
      <c r="C861" s="2">
        <v>2000642425</v>
      </c>
      <c r="D861" s="2">
        <v>48.6</v>
      </c>
      <c r="E861" s="2"/>
      <c r="F861" s="2">
        <v>225</v>
      </c>
      <c r="G861" s="2">
        <v>975</v>
      </c>
      <c r="H861" s="2"/>
      <c r="I861" s="2"/>
      <c r="J861" s="3">
        <f>IF(A861="Upgrade",IF(OR(H861=4,H861=5),VLOOKUP(I861,'Renewal Rates'!$A$22:$B$27,2,FALSE),2.7%),IF(A861="Renewal",100%,0%))</f>
        <v>2.7000000000000003E-2</v>
      </c>
      <c r="K861" s="2" t="s">
        <v>54</v>
      </c>
      <c r="L861" s="2">
        <v>386</v>
      </c>
      <c r="M861" s="2" t="s">
        <v>23</v>
      </c>
      <c r="N861" s="2" t="s">
        <v>24</v>
      </c>
      <c r="O861" s="4">
        <v>293367</v>
      </c>
      <c r="P861" s="4">
        <v>6031</v>
      </c>
      <c r="Q861" s="4">
        <v>99745</v>
      </c>
      <c r="R861" s="4">
        <v>393112</v>
      </c>
      <c r="S861" s="5">
        <v>0.4</v>
      </c>
      <c r="T861" s="4">
        <v>157245</v>
      </c>
      <c r="U861" s="4">
        <v>550357</v>
      </c>
      <c r="V861" s="6">
        <f t="shared" si="26"/>
        <v>14859.639000000001</v>
      </c>
      <c r="W861" s="6">
        <f t="shared" si="27"/>
        <v>535497.36100000003</v>
      </c>
    </row>
    <row r="862" spans="1:23" x14ac:dyDescent="0.3">
      <c r="A862" s="2" t="s">
        <v>21</v>
      </c>
      <c r="B862" s="2">
        <v>3.0470000000000002</v>
      </c>
      <c r="C862" s="2">
        <v>2000925076</v>
      </c>
      <c r="D862" s="2">
        <v>44.9</v>
      </c>
      <c r="E862" s="2"/>
      <c r="F862" s="2">
        <v>225</v>
      </c>
      <c r="G862" s="2">
        <v>525</v>
      </c>
      <c r="H862" s="2"/>
      <c r="I862" s="2"/>
      <c r="J862" s="3">
        <f>IF(A862="Upgrade",IF(OR(H862=4,H862=5),VLOOKUP(I862,'Renewal Rates'!$A$22:$B$27,2,FALSE),2.7%),IF(A862="Renewal",100%,0%))</f>
        <v>2.7000000000000003E-2</v>
      </c>
      <c r="K862" s="2" t="s">
        <v>52</v>
      </c>
      <c r="L862" s="2">
        <v>387</v>
      </c>
      <c r="M862" s="2" t="s">
        <v>23</v>
      </c>
      <c r="N862" s="2" t="s">
        <v>24</v>
      </c>
      <c r="O862" s="4">
        <v>141400</v>
      </c>
      <c r="P862" s="4">
        <v>3152</v>
      </c>
      <c r="Q862" s="4">
        <v>48076</v>
      </c>
      <c r="R862" s="4">
        <v>189476</v>
      </c>
      <c r="S862" s="5">
        <v>0.4</v>
      </c>
      <c r="T862" s="4">
        <v>75791</v>
      </c>
      <c r="U862" s="4">
        <v>265267</v>
      </c>
      <c r="V862" s="6">
        <f t="shared" si="26"/>
        <v>7162.2090000000007</v>
      </c>
      <c r="W862" s="6">
        <f t="shared" si="27"/>
        <v>258104.791</v>
      </c>
    </row>
    <row r="863" spans="1:23" x14ac:dyDescent="0.3">
      <c r="A863" s="2" t="s">
        <v>21</v>
      </c>
      <c r="B863" s="2">
        <v>3.0470000000000002</v>
      </c>
      <c r="C863" s="2">
        <v>2000961858</v>
      </c>
      <c r="D863" s="2">
        <v>36</v>
      </c>
      <c r="E863" s="2"/>
      <c r="F863" s="2">
        <v>225</v>
      </c>
      <c r="G863" s="2">
        <v>525</v>
      </c>
      <c r="H863" s="2"/>
      <c r="I863" s="2"/>
      <c r="J863" s="3">
        <f>IF(A863="Upgrade",IF(OR(H863=4,H863=5),VLOOKUP(I863,'Renewal Rates'!$A$22:$B$27,2,FALSE),2.7%),IF(A863="Renewal",100%,0%))</f>
        <v>2.7000000000000003E-2</v>
      </c>
      <c r="K863" s="2" t="s">
        <v>52</v>
      </c>
      <c r="L863" s="2">
        <v>387</v>
      </c>
      <c r="M863" s="2" t="s">
        <v>23</v>
      </c>
      <c r="N863" s="2" t="s">
        <v>24</v>
      </c>
      <c r="O863" s="4">
        <v>130566</v>
      </c>
      <c r="P863" s="4">
        <v>3632</v>
      </c>
      <c r="Q863" s="4">
        <v>44392</v>
      </c>
      <c r="R863" s="4">
        <v>174958</v>
      </c>
      <c r="S863" s="5">
        <v>0.4</v>
      </c>
      <c r="T863" s="4">
        <v>69983</v>
      </c>
      <c r="U863" s="4">
        <v>244942</v>
      </c>
      <c r="V863" s="6">
        <f t="shared" si="26"/>
        <v>6613.4340000000011</v>
      </c>
      <c r="W863" s="6">
        <f t="shared" si="27"/>
        <v>238328.56599999999</v>
      </c>
    </row>
    <row r="864" spans="1:23" x14ac:dyDescent="0.3">
      <c r="A864" s="2" t="s">
        <v>21</v>
      </c>
      <c r="B864" s="2">
        <v>3.0470000000000002</v>
      </c>
      <c r="C864" s="2">
        <v>2000187282</v>
      </c>
      <c r="D864" s="2">
        <v>13.7</v>
      </c>
      <c r="E864" s="2"/>
      <c r="F864" s="2">
        <v>225</v>
      </c>
      <c r="G864" s="2">
        <v>525</v>
      </c>
      <c r="H864" s="2"/>
      <c r="I864" s="2"/>
      <c r="J864" s="3">
        <f>IF(A864="Upgrade",IF(OR(H864=4,H864=5),VLOOKUP(I864,'Renewal Rates'!$A$22:$B$27,2,FALSE),2.7%),IF(A864="Renewal",100%,0%))</f>
        <v>2.7000000000000003E-2</v>
      </c>
      <c r="K864" s="2" t="s">
        <v>52</v>
      </c>
      <c r="L864" s="2">
        <v>387</v>
      </c>
      <c r="M864" s="2" t="s">
        <v>23</v>
      </c>
      <c r="N864" s="2" t="s">
        <v>24</v>
      </c>
      <c r="O864" s="4">
        <v>58942</v>
      </c>
      <c r="P864" s="4">
        <v>4303</v>
      </c>
      <c r="Q864" s="4">
        <v>20040</v>
      </c>
      <c r="R864" s="4">
        <v>78983</v>
      </c>
      <c r="S864" s="5">
        <v>0.4</v>
      </c>
      <c r="T864" s="4">
        <v>31593</v>
      </c>
      <c r="U864" s="4">
        <v>110576</v>
      </c>
      <c r="V864" s="6">
        <f t="shared" si="26"/>
        <v>2985.5520000000001</v>
      </c>
      <c r="W864" s="6">
        <f t="shared" si="27"/>
        <v>107590.448</v>
      </c>
    </row>
    <row r="865" spans="1:23" x14ac:dyDescent="0.3">
      <c r="A865" s="2" t="s">
        <v>21</v>
      </c>
      <c r="B865" s="2">
        <v>3.0470000000000002</v>
      </c>
      <c r="C865" s="2">
        <v>2000505381</v>
      </c>
      <c r="D865" s="2">
        <v>3.5</v>
      </c>
      <c r="E865" s="2"/>
      <c r="F865" s="2">
        <v>225</v>
      </c>
      <c r="G865" s="2">
        <v>525</v>
      </c>
      <c r="H865" s="2"/>
      <c r="I865" s="2"/>
      <c r="J865" s="3">
        <f>IF(A865="Upgrade",IF(OR(H865=4,H865=5),VLOOKUP(I865,'Renewal Rates'!$A$22:$B$27,2,FALSE),2.7%),IF(A865="Renewal",100%,0%))</f>
        <v>2.7000000000000003E-2</v>
      </c>
      <c r="K865" s="2" t="s">
        <v>52</v>
      </c>
      <c r="L865" s="2">
        <v>387</v>
      </c>
      <c r="M865" s="2" t="s">
        <v>23</v>
      </c>
      <c r="N865" s="2" t="s">
        <v>24</v>
      </c>
      <c r="O865" s="4">
        <v>47020</v>
      </c>
      <c r="P865" s="4">
        <v>13265</v>
      </c>
      <c r="Q865" s="4">
        <v>15987</v>
      </c>
      <c r="R865" s="4">
        <v>63007</v>
      </c>
      <c r="S865" s="5">
        <v>0.4</v>
      </c>
      <c r="T865" s="4">
        <v>25203</v>
      </c>
      <c r="U865" s="4">
        <v>88210</v>
      </c>
      <c r="V865" s="6">
        <f t="shared" si="26"/>
        <v>2381.67</v>
      </c>
      <c r="W865" s="6">
        <f t="shared" si="27"/>
        <v>85828.33</v>
      </c>
    </row>
    <row r="866" spans="1:23" x14ac:dyDescent="0.3">
      <c r="A866" s="2" t="s">
        <v>25</v>
      </c>
      <c r="B866" s="2">
        <v>3.0179999999999998</v>
      </c>
      <c r="C866" s="2"/>
      <c r="D866" s="2"/>
      <c r="E866" s="2">
        <v>57.5</v>
      </c>
      <c r="F866" s="2"/>
      <c r="G866" s="2">
        <v>525</v>
      </c>
      <c r="H866" s="2"/>
      <c r="I866" s="2"/>
      <c r="J866" s="3">
        <f>IF(A866="Upgrade",IF(OR(H866=4,H866=5),VLOOKUP(I866,'Renewal Rates'!$A$22:$B$27,2,FALSE),2.7%),IF(A866="Renewal",100%,0%))</f>
        <v>0</v>
      </c>
      <c r="K866" s="2" t="s">
        <v>52</v>
      </c>
      <c r="L866" s="2">
        <v>386</v>
      </c>
      <c r="M866" s="2" t="s">
        <v>23</v>
      </c>
      <c r="N866" s="2" t="s">
        <v>24</v>
      </c>
      <c r="O866" s="4">
        <v>190716</v>
      </c>
      <c r="P866" s="4">
        <v>3319</v>
      </c>
      <c r="Q866" s="4">
        <v>64844</v>
      </c>
      <c r="R866" s="4">
        <v>255560</v>
      </c>
      <c r="S866" s="5">
        <v>0.4</v>
      </c>
      <c r="T866" s="4">
        <v>102224</v>
      </c>
      <c r="U866" s="4">
        <v>357784</v>
      </c>
      <c r="V866" s="6">
        <f t="shared" si="26"/>
        <v>0</v>
      </c>
      <c r="W866" s="6">
        <f t="shared" si="27"/>
        <v>357784</v>
      </c>
    </row>
    <row r="867" spans="1:23" x14ac:dyDescent="0.3">
      <c r="A867" s="2" t="s">
        <v>25</v>
      </c>
      <c r="B867" s="2">
        <v>3.008</v>
      </c>
      <c r="C867" s="2"/>
      <c r="D867" s="2"/>
      <c r="E867" s="2">
        <v>260.7</v>
      </c>
      <c r="F867" s="2"/>
      <c r="G867" s="2">
        <v>600</v>
      </c>
      <c r="H867" s="2"/>
      <c r="I867" s="2"/>
      <c r="J867" s="3">
        <f>IF(A867="Upgrade",IF(OR(H867=4,H867=5),VLOOKUP(I867,'Renewal Rates'!$A$22:$B$27,2,FALSE),2.7%),IF(A867="Renewal",100%,0%))</f>
        <v>0</v>
      </c>
      <c r="K867" s="2" t="s">
        <v>52</v>
      </c>
      <c r="L867" s="2">
        <v>386</v>
      </c>
      <c r="M867" s="2" t="s">
        <v>23</v>
      </c>
      <c r="N867" s="2" t="s">
        <v>24</v>
      </c>
      <c r="O867" s="4">
        <v>832725</v>
      </c>
      <c r="P867" s="4">
        <v>3194</v>
      </c>
      <c r="Q867" s="4">
        <v>283127</v>
      </c>
      <c r="R867" s="4">
        <v>1115852</v>
      </c>
      <c r="S867" s="5">
        <v>0.4</v>
      </c>
      <c r="T867" s="4">
        <v>446341</v>
      </c>
      <c r="U867" s="4">
        <v>1562193</v>
      </c>
      <c r="V867" s="6">
        <f t="shared" si="26"/>
        <v>0</v>
      </c>
      <c r="W867" s="6">
        <f t="shared" si="27"/>
        <v>1562193</v>
      </c>
    </row>
    <row r="868" spans="1:23" x14ac:dyDescent="0.3">
      <c r="A868" s="2" t="s">
        <v>25</v>
      </c>
      <c r="B868" s="2">
        <v>3.0110000000000001</v>
      </c>
      <c r="C868" s="2"/>
      <c r="D868" s="2"/>
      <c r="E868" s="2">
        <v>47</v>
      </c>
      <c r="F868" s="2"/>
      <c r="G868" s="2">
        <v>450</v>
      </c>
      <c r="H868" s="2"/>
      <c r="I868" s="2"/>
      <c r="J868" s="3">
        <f>IF(A868="Upgrade",IF(OR(H868=4,H868=5),VLOOKUP(I868,'Renewal Rates'!$A$22:$B$27,2,FALSE),2.7%),IF(A868="Renewal",100%,0%))</f>
        <v>0</v>
      </c>
      <c r="K868" s="2" t="s">
        <v>52</v>
      </c>
      <c r="L868" s="2">
        <v>386</v>
      </c>
      <c r="M868" s="2" t="s">
        <v>23</v>
      </c>
      <c r="N868" s="2" t="s">
        <v>24</v>
      </c>
      <c r="O868" s="4">
        <v>136194</v>
      </c>
      <c r="P868" s="4">
        <v>2898</v>
      </c>
      <c r="Q868" s="4">
        <v>46306</v>
      </c>
      <c r="R868" s="4">
        <v>182500</v>
      </c>
      <c r="S868" s="5">
        <v>0.4</v>
      </c>
      <c r="T868" s="4">
        <v>73000</v>
      </c>
      <c r="U868" s="4">
        <v>255500</v>
      </c>
      <c r="V868" s="6">
        <f t="shared" si="26"/>
        <v>0</v>
      </c>
      <c r="W868" s="6">
        <f t="shared" si="27"/>
        <v>255500</v>
      </c>
    </row>
    <row r="869" spans="1:23" x14ac:dyDescent="0.3">
      <c r="A869" s="2" t="s">
        <v>25</v>
      </c>
      <c r="B869" s="2">
        <v>3.01</v>
      </c>
      <c r="C869" s="2"/>
      <c r="D869" s="2"/>
      <c r="E869" s="2">
        <v>103.1</v>
      </c>
      <c r="F869" s="2"/>
      <c r="G869" s="2">
        <v>600</v>
      </c>
      <c r="H869" s="2"/>
      <c r="I869" s="2"/>
      <c r="J869" s="3">
        <f>IF(A869="Upgrade",IF(OR(H869=4,H869=5),VLOOKUP(I869,'Renewal Rates'!$A$22:$B$27,2,FALSE),2.7%),IF(A869="Renewal",100%,0%))</f>
        <v>0</v>
      </c>
      <c r="K869" s="2" t="s">
        <v>52</v>
      </c>
      <c r="L869" s="2">
        <v>386</v>
      </c>
      <c r="M869" s="2" t="s">
        <v>23</v>
      </c>
      <c r="N869" s="2" t="s">
        <v>24</v>
      </c>
      <c r="O869" s="4">
        <v>342369</v>
      </c>
      <c r="P869" s="4">
        <v>3322</v>
      </c>
      <c r="Q869" s="4">
        <v>116406</v>
      </c>
      <c r="R869" s="4">
        <v>458775</v>
      </c>
      <c r="S869" s="5">
        <v>0.4</v>
      </c>
      <c r="T869" s="4">
        <v>183510</v>
      </c>
      <c r="U869" s="4">
        <v>642285</v>
      </c>
      <c r="V869" s="6">
        <f t="shared" si="26"/>
        <v>0</v>
      </c>
      <c r="W869" s="6">
        <f t="shared" si="27"/>
        <v>642285</v>
      </c>
    </row>
    <row r="870" spans="1:23" x14ac:dyDescent="0.3">
      <c r="A870" s="2" t="s">
        <v>25</v>
      </c>
      <c r="B870" s="2">
        <v>3.0569999999999999</v>
      </c>
      <c r="C870" s="2"/>
      <c r="D870" s="2"/>
      <c r="E870" s="2">
        <v>21.1</v>
      </c>
      <c r="F870" s="2"/>
      <c r="G870" s="2">
        <v>825</v>
      </c>
      <c r="H870" s="2"/>
      <c r="I870" s="2"/>
      <c r="J870" s="3">
        <f>IF(A870="Upgrade",IF(OR(H870=4,H870=5),VLOOKUP(I870,'Renewal Rates'!$A$22:$B$27,2,FALSE),2.7%),IF(A870="Renewal",100%,0%))</f>
        <v>0</v>
      </c>
      <c r="K870" s="2" t="s">
        <v>54</v>
      </c>
      <c r="L870" s="2">
        <v>386</v>
      </c>
      <c r="M870" s="2" t="s">
        <v>23</v>
      </c>
      <c r="N870" s="2" t="s">
        <v>24</v>
      </c>
      <c r="O870" s="4">
        <v>143439</v>
      </c>
      <c r="P870" s="4">
        <v>6813</v>
      </c>
      <c r="Q870" s="4">
        <v>48769</v>
      </c>
      <c r="R870" s="4">
        <v>192209</v>
      </c>
      <c r="S870" s="5">
        <v>0.4</v>
      </c>
      <c r="T870" s="4">
        <v>76883</v>
      </c>
      <c r="U870" s="4">
        <v>269092</v>
      </c>
      <c r="V870" s="6">
        <f t="shared" si="26"/>
        <v>0</v>
      </c>
      <c r="W870" s="6">
        <f t="shared" si="27"/>
        <v>269092</v>
      </c>
    </row>
    <row r="871" spans="1:23" x14ac:dyDescent="0.3">
      <c r="A871" s="2" t="s">
        <v>21</v>
      </c>
      <c r="B871" s="2">
        <v>3.0449999999999999</v>
      </c>
      <c r="C871" s="2">
        <v>2000622274</v>
      </c>
      <c r="D871" s="2">
        <v>78.7</v>
      </c>
      <c r="E871" s="2"/>
      <c r="F871" s="2">
        <v>225</v>
      </c>
      <c r="G871" s="2">
        <v>900</v>
      </c>
      <c r="H871" s="2"/>
      <c r="I871" s="2"/>
      <c r="J871" s="3">
        <f>IF(A871="Upgrade",IF(OR(H871=4,H871=5),VLOOKUP(I871,'Renewal Rates'!$A$22:$B$27,2,FALSE),2.7%),IF(A871="Renewal",100%,0%))</f>
        <v>2.7000000000000003E-2</v>
      </c>
      <c r="K871" s="2" t="s">
        <v>54</v>
      </c>
      <c r="L871" s="2">
        <v>387</v>
      </c>
      <c r="M871" s="2" t="s">
        <v>23</v>
      </c>
      <c r="N871" s="2" t="s">
        <v>24</v>
      </c>
      <c r="O871" s="4">
        <v>435958</v>
      </c>
      <c r="P871" s="4">
        <v>5539</v>
      </c>
      <c r="Q871" s="4">
        <v>148226</v>
      </c>
      <c r="R871" s="4">
        <v>584184</v>
      </c>
      <c r="S871" s="5">
        <v>0.4</v>
      </c>
      <c r="T871" s="4">
        <v>233674</v>
      </c>
      <c r="U871" s="4">
        <v>817858</v>
      </c>
      <c r="V871" s="6">
        <f t="shared" si="26"/>
        <v>22082.166000000001</v>
      </c>
      <c r="W871" s="6">
        <f t="shared" si="27"/>
        <v>795775.83400000003</v>
      </c>
    </row>
    <row r="872" spans="1:23" x14ac:dyDescent="0.3">
      <c r="A872" s="2" t="s">
        <v>21</v>
      </c>
      <c r="B872" s="2">
        <v>3.0449999999999999</v>
      </c>
      <c r="C872" s="2">
        <v>2000865449</v>
      </c>
      <c r="D872" s="2">
        <v>49.7</v>
      </c>
      <c r="E872" s="2"/>
      <c r="F872" s="2">
        <v>225</v>
      </c>
      <c r="G872" s="2">
        <v>900</v>
      </c>
      <c r="H872" s="2"/>
      <c r="I872" s="2"/>
      <c r="J872" s="3">
        <f>IF(A872="Upgrade",IF(OR(H872=4,H872=5),VLOOKUP(I872,'Renewal Rates'!$A$22:$B$27,2,FALSE),2.7%),IF(A872="Renewal",100%,0%))</f>
        <v>2.7000000000000003E-2</v>
      </c>
      <c r="K872" s="2" t="s">
        <v>54</v>
      </c>
      <c r="L872" s="2">
        <v>387</v>
      </c>
      <c r="M872" s="2" t="s">
        <v>23</v>
      </c>
      <c r="N872" s="2" t="s">
        <v>24</v>
      </c>
      <c r="O872" s="4">
        <v>271853</v>
      </c>
      <c r="P872" s="4">
        <v>5475</v>
      </c>
      <c r="Q872" s="4">
        <v>92430</v>
      </c>
      <c r="R872" s="4">
        <v>364283</v>
      </c>
      <c r="S872" s="5">
        <v>0.4</v>
      </c>
      <c r="T872" s="4">
        <v>145713</v>
      </c>
      <c r="U872" s="4">
        <v>509997</v>
      </c>
      <c r="V872" s="6">
        <f t="shared" si="26"/>
        <v>13769.919000000002</v>
      </c>
      <c r="W872" s="6">
        <f t="shared" si="27"/>
        <v>496227.08100000001</v>
      </c>
    </row>
    <row r="873" spans="1:23" x14ac:dyDescent="0.3">
      <c r="A873" s="2" t="s">
        <v>25</v>
      </c>
      <c r="B873" s="2">
        <v>3.0129999999999999</v>
      </c>
      <c r="C873" s="2"/>
      <c r="D873" s="2"/>
      <c r="E873" s="2">
        <v>73.2</v>
      </c>
      <c r="F873" s="2"/>
      <c r="G873" s="2">
        <v>525</v>
      </c>
      <c r="H873" s="2"/>
      <c r="I873" s="2"/>
      <c r="J873" s="3">
        <f>IF(A873="Upgrade",IF(OR(H873=4,H873=5),VLOOKUP(I873,'Renewal Rates'!$A$22:$B$27,2,FALSE),2.7%),IF(A873="Renewal",100%,0%))</f>
        <v>0</v>
      </c>
      <c r="K873" s="2" t="s">
        <v>54</v>
      </c>
      <c r="L873" s="2">
        <v>386</v>
      </c>
      <c r="M873" s="2" t="s">
        <v>23</v>
      </c>
      <c r="N873" s="2" t="s">
        <v>24</v>
      </c>
      <c r="O873" s="4">
        <v>223853</v>
      </c>
      <c r="P873" s="4">
        <v>3060</v>
      </c>
      <c r="Q873" s="4">
        <v>76110</v>
      </c>
      <c r="R873" s="4">
        <v>299963</v>
      </c>
      <c r="S873" s="5">
        <v>0.4</v>
      </c>
      <c r="T873" s="4">
        <v>119985</v>
      </c>
      <c r="U873" s="4">
        <v>419948</v>
      </c>
      <c r="V873" s="6">
        <f t="shared" si="26"/>
        <v>0</v>
      </c>
      <c r="W873" s="6">
        <f t="shared" si="27"/>
        <v>419948</v>
      </c>
    </row>
    <row r="874" spans="1:23" x14ac:dyDescent="0.3">
      <c r="A874" s="2" t="s">
        <v>21</v>
      </c>
      <c r="B874" s="2">
        <v>3.0619999999999998</v>
      </c>
      <c r="C874" s="2">
        <v>2000658137</v>
      </c>
      <c r="D874" s="2">
        <v>98.5</v>
      </c>
      <c r="E874" s="2"/>
      <c r="F874" s="2">
        <v>450</v>
      </c>
      <c r="G874" s="2">
        <v>1350</v>
      </c>
      <c r="H874" s="2">
        <v>4</v>
      </c>
      <c r="I874" s="2">
        <v>2</v>
      </c>
      <c r="J874" s="3">
        <f>IF(A874="Upgrade",IF(OR(H874=4,H874=5),VLOOKUP(I874,'Renewal Rates'!$A$22:$B$27,2,FALSE),2.7%),IF(A874="Renewal",100%,0%))</f>
        <v>0</v>
      </c>
      <c r="K874" s="2" t="s">
        <v>54</v>
      </c>
      <c r="L874" s="2">
        <v>387</v>
      </c>
      <c r="M874" s="2" t="s">
        <v>23</v>
      </c>
      <c r="N874" s="2" t="s">
        <v>24</v>
      </c>
      <c r="O874" s="4">
        <v>720300</v>
      </c>
      <c r="P874" s="4">
        <v>7310</v>
      </c>
      <c r="Q874" s="4">
        <v>244902</v>
      </c>
      <c r="R874" s="4">
        <v>965202</v>
      </c>
      <c r="S874" s="5">
        <v>0.4</v>
      </c>
      <c r="T874" s="4">
        <v>386081</v>
      </c>
      <c r="U874" s="4">
        <v>1351283</v>
      </c>
      <c r="V874" s="6">
        <f t="shared" si="26"/>
        <v>0</v>
      </c>
      <c r="W874" s="6">
        <f t="shared" si="27"/>
        <v>1351283</v>
      </c>
    </row>
    <row r="875" spans="1:23" x14ac:dyDescent="0.3">
      <c r="A875" s="2" t="s">
        <v>21</v>
      </c>
      <c r="B875" s="2">
        <v>3.0619999999999998</v>
      </c>
      <c r="C875" s="2">
        <v>2000643540</v>
      </c>
      <c r="D875" s="2">
        <v>14.5</v>
      </c>
      <c r="E875" s="2"/>
      <c r="F875" s="2">
        <v>450</v>
      </c>
      <c r="G875" s="2">
        <v>1350</v>
      </c>
      <c r="H875" s="2"/>
      <c r="I875" s="2"/>
      <c r="J875" s="3">
        <f>IF(A875="Upgrade",IF(OR(H875=4,H875=5),VLOOKUP(I875,'Renewal Rates'!$A$22:$B$27,2,FALSE),2.7%),IF(A875="Renewal",100%,0%))</f>
        <v>2.7000000000000003E-2</v>
      </c>
      <c r="K875" s="2" t="s">
        <v>54</v>
      </c>
      <c r="L875" s="2">
        <v>387</v>
      </c>
      <c r="M875" s="2" t="s">
        <v>23</v>
      </c>
      <c r="N875" s="2" t="s">
        <v>24</v>
      </c>
      <c r="O875" s="4">
        <v>110155</v>
      </c>
      <c r="P875" s="4">
        <v>7609</v>
      </c>
      <c r="Q875" s="4">
        <v>37453</v>
      </c>
      <c r="R875" s="4">
        <v>147608</v>
      </c>
      <c r="S875" s="5">
        <v>0.4</v>
      </c>
      <c r="T875" s="4">
        <v>59043</v>
      </c>
      <c r="U875" s="4">
        <v>206651</v>
      </c>
      <c r="V875" s="6">
        <f t="shared" si="26"/>
        <v>5579.5770000000002</v>
      </c>
      <c r="W875" s="6">
        <f t="shared" si="27"/>
        <v>201071.42300000001</v>
      </c>
    </row>
    <row r="876" spans="1:23" x14ac:dyDescent="0.3">
      <c r="A876" s="2" t="s">
        <v>21</v>
      </c>
      <c r="B876" s="2">
        <v>3.0390000000000001</v>
      </c>
      <c r="C876" s="2">
        <v>2000018644</v>
      </c>
      <c r="D876" s="2">
        <v>71.099999999999994</v>
      </c>
      <c r="E876" s="2"/>
      <c r="F876" s="2">
        <v>225</v>
      </c>
      <c r="G876" s="2">
        <v>1125</v>
      </c>
      <c r="H876" s="2"/>
      <c r="I876" s="2"/>
      <c r="J876" s="3">
        <f>IF(A876="Upgrade",IF(OR(H876=4,H876=5),VLOOKUP(I876,'Renewal Rates'!$A$22:$B$27,2,FALSE),2.7%),IF(A876="Renewal",100%,0%))</f>
        <v>2.7000000000000003E-2</v>
      </c>
      <c r="K876" s="2" t="s">
        <v>22</v>
      </c>
      <c r="L876" s="2">
        <v>386</v>
      </c>
      <c r="M876" s="2" t="s">
        <v>23</v>
      </c>
      <c r="N876" s="2" t="s">
        <v>24</v>
      </c>
      <c r="O876" s="4">
        <v>509074</v>
      </c>
      <c r="P876" s="4">
        <v>7164</v>
      </c>
      <c r="Q876" s="4">
        <v>173085</v>
      </c>
      <c r="R876" s="4">
        <v>682159</v>
      </c>
      <c r="S876" s="5">
        <v>0.4</v>
      </c>
      <c r="T876" s="4">
        <v>272864</v>
      </c>
      <c r="U876" s="4">
        <v>955023</v>
      </c>
      <c r="V876" s="6">
        <f t="shared" si="26"/>
        <v>25785.621000000003</v>
      </c>
      <c r="W876" s="6">
        <f t="shared" si="27"/>
        <v>929237.37899999996</v>
      </c>
    </row>
    <row r="877" spans="1:23" x14ac:dyDescent="0.3">
      <c r="A877" s="2" t="s">
        <v>21</v>
      </c>
      <c r="B877" s="2">
        <v>3.0390000000000001</v>
      </c>
      <c r="C877" s="2">
        <v>2000132465</v>
      </c>
      <c r="D877" s="2">
        <v>69.900000000000006</v>
      </c>
      <c r="E877" s="2"/>
      <c r="F877" s="2">
        <v>225</v>
      </c>
      <c r="G877" s="2">
        <v>1125</v>
      </c>
      <c r="H877" s="2"/>
      <c r="I877" s="2"/>
      <c r="J877" s="3">
        <f>IF(A877="Upgrade",IF(OR(H877=4,H877=5),VLOOKUP(I877,'Renewal Rates'!$A$22:$B$27,2,FALSE),2.7%),IF(A877="Renewal",100%,0%))</f>
        <v>2.7000000000000003E-2</v>
      </c>
      <c r="K877" s="2" t="s">
        <v>22</v>
      </c>
      <c r="L877" s="2">
        <v>386</v>
      </c>
      <c r="M877" s="2" t="s">
        <v>23</v>
      </c>
      <c r="N877" s="2" t="s">
        <v>24</v>
      </c>
      <c r="O877" s="4">
        <v>506475</v>
      </c>
      <c r="P877" s="4">
        <v>7248</v>
      </c>
      <c r="Q877" s="4">
        <v>172202</v>
      </c>
      <c r="R877" s="4">
        <v>678677</v>
      </c>
      <c r="S877" s="5">
        <v>0.4</v>
      </c>
      <c r="T877" s="4">
        <v>271471</v>
      </c>
      <c r="U877" s="4">
        <v>950148</v>
      </c>
      <c r="V877" s="6">
        <f t="shared" si="26"/>
        <v>25653.996000000003</v>
      </c>
      <c r="W877" s="6">
        <f t="shared" si="27"/>
        <v>924494.00399999996</v>
      </c>
    </row>
    <row r="878" spans="1:23" x14ac:dyDescent="0.3">
      <c r="A878" s="2" t="s">
        <v>21</v>
      </c>
      <c r="B878" s="2">
        <v>3.0510000000000002</v>
      </c>
      <c r="C878" s="2">
        <v>2000042002</v>
      </c>
      <c r="D878" s="2">
        <v>54.7</v>
      </c>
      <c r="E878" s="2"/>
      <c r="F878" s="2">
        <v>225</v>
      </c>
      <c r="G878" s="2">
        <v>450</v>
      </c>
      <c r="H878" s="2"/>
      <c r="I878" s="2"/>
      <c r="J878" s="3">
        <f>IF(A878="Upgrade",IF(OR(H878=4,H878=5),VLOOKUP(I878,'Renewal Rates'!$A$22:$B$27,2,FALSE),2.7%),IF(A878="Renewal",100%,0%))</f>
        <v>2.7000000000000003E-2</v>
      </c>
      <c r="K878" s="2" t="s">
        <v>22</v>
      </c>
      <c r="L878" s="2">
        <v>386</v>
      </c>
      <c r="M878" s="2" t="s">
        <v>23</v>
      </c>
      <c r="N878" s="2" t="s">
        <v>24</v>
      </c>
      <c r="O878" s="4">
        <v>161057</v>
      </c>
      <c r="P878" s="4">
        <v>2942</v>
      </c>
      <c r="Q878" s="4">
        <v>54759</v>
      </c>
      <c r="R878" s="4">
        <v>215816</v>
      </c>
      <c r="S878" s="5">
        <v>0.4</v>
      </c>
      <c r="T878" s="4">
        <v>86327</v>
      </c>
      <c r="U878" s="4">
        <v>302143</v>
      </c>
      <c r="V878" s="6">
        <f t="shared" si="26"/>
        <v>8157.8610000000008</v>
      </c>
      <c r="W878" s="6">
        <f t="shared" si="27"/>
        <v>293985.13900000002</v>
      </c>
    </row>
    <row r="879" spans="1:23" x14ac:dyDescent="0.3">
      <c r="A879" s="2" t="s">
        <v>21</v>
      </c>
      <c r="B879" s="2">
        <v>3.0640000000000001</v>
      </c>
      <c r="C879" s="2">
        <v>2000090091</v>
      </c>
      <c r="D879" s="2">
        <v>49.8</v>
      </c>
      <c r="E879" s="2"/>
      <c r="F879" s="2">
        <v>300</v>
      </c>
      <c r="G879" s="2">
        <v>1050</v>
      </c>
      <c r="H879" s="2"/>
      <c r="I879" s="2"/>
      <c r="J879" s="3">
        <f>IF(A879="Upgrade",IF(OR(H879=4,H879=5),VLOOKUP(I879,'Renewal Rates'!$A$22:$B$27,2,FALSE),2.7%),IF(A879="Renewal",100%,0%))</f>
        <v>2.7000000000000003E-2</v>
      </c>
      <c r="K879" s="2" t="s">
        <v>22</v>
      </c>
      <c r="L879" s="2">
        <v>386</v>
      </c>
      <c r="M879" s="2" t="s">
        <v>23</v>
      </c>
      <c r="N879" s="2" t="s">
        <v>24</v>
      </c>
      <c r="O879" s="4">
        <v>326067</v>
      </c>
      <c r="P879" s="4">
        <v>6548</v>
      </c>
      <c r="Q879" s="4">
        <v>110863</v>
      </c>
      <c r="R879" s="4">
        <v>436929</v>
      </c>
      <c r="S879" s="5">
        <v>0.4</v>
      </c>
      <c r="T879" s="4">
        <v>174772</v>
      </c>
      <c r="U879" s="4">
        <v>611701</v>
      </c>
      <c r="V879" s="6">
        <f t="shared" si="26"/>
        <v>16515.927000000003</v>
      </c>
      <c r="W879" s="6">
        <f t="shared" si="27"/>
        <v>595185.07299999997</v>
      </c>
    </row>
    <row r="880" spans="1:23" x14ac:dyDescent="0.3">
      <c r="A880" s="2" t="s">
        <v>21</v>
      </c>
      <c r="B880" s="2">
        <v>3.0640000000000001</v>
      </c>
      <c r="C880" s="2">
        <v>2000646839</v>
      </c>
      <c r="D880" s="2">
        <v>42.7</v>
      </c>
      <c r="E880" s="2"/>
      <c r="F880" s="2">
        <v>225</v>
      </c>
      <c r="G880" s="2">
        <v>1050</v>
      </c>
      <c r="H880" s="2"/>
      <c r="I880" s="2"/>
      <c r="J880" s="3">
        <f>IF(A880="Upgrade",IF(OR(H880=4,H880=5),VLOOKUP(I880,'Renewal Rates'!$A$22:$B$27,2,FALSE),2.7%),IF(A880="Renewal",100%,0%))</f>
        <v>2.7000000000000003E-2</v>
      </c>
      <c r="K880" s="2" t="s">
        <v>22</v>
      </c>
      <c r="L880" s="2">
        <v>386</v>
      </c>
      <c r="M880" s="2" t="s">
        <v>23</v>
      </c>
      <c r="N880" s="2" t="s">
        <v>24</v>
      </c>
      <c r="O880" s="4">
        <v>289043</v>
      </c>
      <c r="P880" s="4">
        <v>6767</v>
      </c>
      <c r="Q880" s="4">
        <v>98275</v>
      </c>
      <c r="R880" s="4">
        <v>387317</v>
      </c>
      <c r="S880" s="5">
        <v>0.4</v>
      </c>
      <c r="T880" s="4">
        <v>154927</v>
      </c>
      <c r="U880" s="4">
        <v>542244</v>
      </c>
      <c r="V880" s="6">
        <f t="shared" si="26"/>
        <v>14640.588000000002</v>
      </c>
      <c r="W880" s="6">
        <f t="shared" si="27"/>
        <v>527603.41200000001</v>
      </c>
    </row>
    <row r="881" spans="1:23" x14ac:dyDescent="0.3">
      <c r="A881" s="2" t="s">
        <v>21</v>
      </c>
      <c r="B881" s="2">
        <v>3.04</v>
      </c>
      <c r="C881" s="2">
        <v>2000474891</v>
      </c>
      <c r="D881" s="2">
        <v>83.7</v>
      </c>
      <c r="E881" s="2"/>
      <c r="F881" s="2">
        <v>375</v>
      </c>
      <c r="G881" s="2">
        <v>825</v>
      </c>
      <c r="H881" s="2">
        <v>4</v>
      </c>
      <c r="I881" s="2">
        <v>3</v>
      </c>
      <c r="J881" s="3">
        <f>IF(A881="Upgrade",IF(OR(H881=4,H881=5),VLOOKUP(I881,'Renewal Rates'!$A$22:$B$27,2,FALSE),2.7%),IF(A881="Renewal",100%,0%))</f>
        <v>0.21</v>
      </c>
      <c r="K881" s="2" t="s">
        <v>22</v>
      </c>
      <c r="L881" s="2">
        <v>386</v>
      </c>
      <c r="M881" s="2" t="s">
        <v>23</v>
      </c>
      <c r="N881" s="2" t="s">
        <v>24</v>
      </c>
      <c r="O881" s="4">
        <v>375560</v>
      </c>
      <c r="P881" s="4">
        <v>4488</v>
      </c>
      <c r="Q881" s="4">
        <v>127690</v>
      </c>
      <c r="R881" s="4">
        <v>503251</v>
      </c>
      <c r="S881" s="5">
        <v>0.4</v>
      </c>
      <c r="T881" s="4">
        <v>201300</v>
      </c>
      <c r="U881" s="4">
        <v>704551</v>
      </c>
      <c r="V881" s="6">
        <f t="shared" si="26"/>
        <v>147955.71</v>
      </c>
      <c r="W881" s="6">
        <f t="shared" si="27"/>
        <v>556595.29</v>
      </c>
    </row>
    <row r="882" spans="1:23" x14ac:dyDescent="0.3">
      <c r="A882" s="2" t="s">
        <v>21</v>
      </c>
      <c r="B882" s="2">
        <v>3.0529999999999999</v>
      </c>
      <c r="C882" s="2">
        <v>2000822011</v>
      </c>
      <c r="D882" s="2">
        <v>81.099999999999994</v>
      </c>
      <c r="E882" s="2"/>
      <c r="F882" s="2">
        <v>375</v>
      </c>
      <c r="G882" s="2">
        <v>750</v>
      </c>
      <c r="H882" s="2">
        <v>4</v>
      </c>
      <c r="I882" s="2" t="s">
        <v>27</v>
      </c>
      <c r="J882" s="3">
        <f>IF(A882="Upgrade",IF(OR(H882=4,H882=5),VLOOKUP(I882,'Renewal Rates'!$A$22:$B$27,2,FALSE),2.7%),IF(A882="Renewal",100%,0%))</f>
        <v>0.116578</v>
      </c>
      <c r="K882" s="2" t="s">
        <v>22</v>
      </c>
      <c r="L882" s="2">
        <v>386</v>
      </c>
      <c r="M882" s="2" t="s">
        <v>23</v>
      </c>
      <c r="N882" s="2" t="s">
        <v>24</v>
      </c>
      <c r="O882" s="4">
        <v>339808</v>
      </c>
      <c r="P882" s="4">
        <v>4190</v>
      </c>
      <c r="Q882" s="4">
        <v>115535</v>
      </c>
      <c r="R882" s="4">
        <v>455343</v>
      </c>
      <c r="S882" s="5">
        <v>0.4</v>
      </c>
      <c r="T882" s="4">
        <v>182137</v>
      </c>
      <c r="U882" s="4">
        <v>637480</v>
      </c>
      <c r="V882" s="6">
        <f t="shared" si="26"/>
        <v>74316.14344</v>
      </c>
      <c r="W882" s="6">
        <f t="shared" si="27"/>
        <v>563163.85655999999</v>
      </c>
    </row>
    <row r="883" spans="1:23" x14ac:dyDescent="0.3">
      <c r="A883" s="2" t="s">
        <v>21</v>
      </c>
      <c r="B883" s="2">
        <v>3.0529999999999999</v>
      </c>
      <c r="C883" s="2">
        <v>2000075025</v>
      </c>
      <c r="D883" s="2">
        <v>2.8</v>
      </c>
      <c r="E883" s="2"/>
      <c r="F883" s="2">
        <v>225</v>
      </c>
      <c r="G883" s="2">
        <v>750</v>
      </c>
      <c r="H883" s="2"/>
      <c r="I883" s="2"/>
      <c r="J883" s="3">
        <f>IF(A883="Upgrade",IF(OR(H883=4,H883=5),VLOOKUP(I883,'Renewal Rates'!$A$22:$B$27,2,FALSE),2.7%),IF(A883="Renewal",100%,0%))</f>
        <v>2.7000000000000003E-2</v>
      </c>
      <c r="K883" s="2" t="s">
        <v>22</v>
      </c>
      <c r="L883" s="2">
        <v>386</v>
      </c>
      <c r="M883" s="2" t="s">
        <v>23</v>
      </c>
      <c r="N883" s="2" t="s">
        <v>24</v>
      </c>
      <c r="O883" s="4">
        <v>29960</v>
      </c>
      <c r="P883" s="4">
        <v>10682</v>
      </c>
      <c r="Q883" s="4">
        <v>10187</v>
      </c>
      <c r="R883" s="4">
        <v>40147</v>
      </c>
      <c r="S883" s="5">
        <v>0.4</v>
      </c>
      <c r="T883" s="4">
        <v>16059</v>
      </c>
      <c r="U883" s="4">
        <v>56206</v>
      </c>
      <c r="V883" s="6">
        <f t="shared" si="26"/>
        <v>1517.5620000000001</v>
      </c>
      <c r="W883" s="6">
        <f t="shared" si="27"/>
        <v>54688.438000000002</v>
      </c>
    </row>
    <row r="884" spans="1:23" x14ac:dyDescent="0.3">
      <c r="A884" s="2" t="s">
        <v>21</v>
      </c>
      <c r="B884" s="2">
        <v>3.0529999999999999</v>
      </c>
      <c r="C884" s="2">
        <v>2000301059</v>
      </c>
      <c r="D884" s="2">
        <v>5.8</v>
      </c>
      <c r="E884" s="2"/>
      <c r="F884" s="2">
        <v>225</v>
      </c>
      <c r="G884" s="2">
        <v>750</v>
      </c>
      <c r="H884" s="2"/>
      <c r="I884" s="2"/>
      <c r="J884" s="3">
        <f>IF(A884="Upgrade",IF(OR(H884=4,H884=5),VLOOKUP(I884,'Renewal Rates'!$A$22:$B$27,2,FALSE),2.7%),IF(A884="Renewal",100%,0%))</f>
        <v>2.7000000000000003E-2</v>
      </c>
      <c r="K884" s="2" t="s">
        <v>22</v>
      </c>
      <c r="L884" s="2">
        <v>386</v>
      </c>
      <c r="M884" s="2" t="s">
        <v>23</v>
      </c>
      <c r="N884" s="2" t="s">
        <v>24</v>
      </c>
      <c r="O884" s="4">
        <v>57413</v>
      </c>
      <c r="P884" s="4">
        <v>9924</v>
      </c>
      <c r="Q884" s="4">
        <v>19520</v>
      </c>
      <c r="R884" s="4">
        <v>76933</v>
      </c>
      <c r="S884" s="5">
        <v>0.4</v>
      </c>
      <c r="T884" s="4">
        <v>30773</v>
      </c>
      <c r="U884" s="4">
        <v>107707</v>
      </c>
      <c r="V884" s="6">
        <f t="shared" si="26"/>
        <v>2908.0890000000004</v>
      </c>
      <c r="W884" s="6">
        <f t="shared" si="27"/>
        <v>104798.91099999999</v>
      </c>
    </row>
    <row r="885" spans="1:23" x14ac:dyDescent="0.3">
      <c r="A885" s="2" t="s">
        <v>21</v>
      </c>
      <c r="B885" s="2">
        <v>3.0529999999999999</v>
      </c>
      <c r="C885" s="2">
        <v>2000742615</v>
      </c>
      <c r="D885" s="2">
        <v>39.5</v>
      </c>
      <c r="E885" s="2"/>
      <c r="F885" s="2">
        <v>225</v>
      </c>
      <c r="G885" s="2">
        <v>750</v>
      </c>
      <c r="H885" s="2"/>
      <c r="I885" s="2"/>
      <c r="J885" s="3">
        <f>IF(A885="Upgrade",IF(OR(H885=4,H885=5),VLOOKUP(I885,'Renewal Rates'!$A$22:$B$27,2,FALSE),2.7%),IF(A885="Renewal",100%,0%))</f>
        <v>2.7000000000000003E-2</v>
      </c>
      <c r="K885" s="2" t="s">
        <v>22</v>
      </c>
      <c r="L885" s="2">
        <v>386</v>
      </c>
      <c r="M885" s="2" t="s">
        <v>23</v>
      </c>
      <c r="N885" s="2" t="s">
        <v>24</v>
      </c>
      <c r="O885" s="4">
        <v>181013</v>
      </c>
      <c r="P885" s="4">
        <v>4582</v>
      </c>
      <c r="Q885" s="4">
        <v>61544</v>
      </c>
      <c r="R885" s="4">
        <v>242558</v>
      </c>
      <c r="S885" s="5">
        <v>0.4</v>
      </c>
      <c r="T885" s="4">
        <v>97023</v>
      </c>
      <c r="U885" s="4">
        <v>339581</v>
      </c>
      <c r="V885" s="6">
        <f t="shared" si="26"/>
        <v>9168.6870000000017</v>
      </c>
      <c r="W885" s="6">
        <f t="shared" si="27"/>
        <v>330412.31300000002</v>
      </c>
    </row>
    <row r="886" spans="1:23" x14ac:dyDescent="0.3">
      <c r="A886" s="2" t="s">
        <v>21</v>
      </c>
      <c r="B886" s="2">
        <v>3.0529999999999999</v>
      </c>
      <c r="C886" s="2">
        <v>3000191950</v>
      </c>
      <c r="D886" s="2">
        <v>10.9</v>
      </c>
      <c r="E886" s="2"/>
      <c r="F886" s="2">
        <v>225</v>
      </c>
      <c r="G886" s="2">
        <v>750</v>
      </c>
      <c r="H886" s="2"/>
      <c r="I886" s="2"/>
      <c r="J886" s="3">
        <f>IF(A886="Upgrade",IF(OR(H886=4,H886=5),VLOOKUP(I886,'Renewal Rates'!$A$22:$B$27,2,FALSE),2.7%),IF(A886="Renewal",100%,0%))</f>
        <v>2.7000000000000003E-2</v>
      </c>
      <c r="K886" s="2" t="s">
        <v>22</v>
      </c>
      <c r="L886" s="2">
        <v>386</v>
      </c>
      <c r="M886" s="2" t="s">
        <v>23</v>
      </c>
      <c r="N886" s="2" t="s">
        <v>24</v>
      </c>
      <c r="O886" s="4">
        <v>83828</v>
      </c>
      <c r="P886" s="4">
        <v>7679</v>
      </c>
      <c r="Q886" s="4">
        <v>28502</v>
      </c>
      <c r="R886" s="4">
        <v>112330</v>
      </c>
      <c r="S886" s="5">
        <v>0.4</v>
      </c>
      <c r="T886" s="4">
        <v>44932</v>
      </c>
      <c r="U886" s="4">
        <v>157262</v>
      </c>
      <c r="V886" s="6">
        <f t="shared" si="26"/>
        <v>4246.0740000000005</v>
      </c>
      <c r="W886" s="6">
        <f t="shared" si="27"/>
        <v>153015.92600000001</v>
      </c>
    </row>
    <row r="887" spans="1:23" x14ac:dyDescent="0.3">
      <c r="A887" s="2" t="s">
        <v>21</v>
      </c>
      <c r="B887" s="2">
        <v>3.0529999999999999</v>
      </c>
      <c r="C887" s="2">
        <v>2000070060</v>
      </c>
      <c r="D887" s="2">
        <v>47.9</v>
      </c>
      <c r="E887" s="2"/>
      <c r="F887" s="2">
        <v>300</v>
      </c>
      <c r="G887" s="2">
        <v>750</v>
      </c>
      <c r="H887" s="2"/>
      <c r="I887" s="2"/>
      <c r="J887" s="3">
        <f>IF(A887="Upgrade",IF(OR(H887=4,H887=5),VLOOKUP(I887,'Renewal Rates'!$A$22:$B$27,2,FALSE),2.7%),IF(A887="Renewal",100%,0%))</f>
        <v>2.7000000000000003E-2</v>
      </c>
      <c r="K887" s="2" t="s">
        <v>22</v>
      </c>
      <c r="L887" s="2">
        <v>386</v>
      </c>
      <c r="M887" s="2" t="s">
        <v>23</v>
      </c>
      <c r="N887" s="2" t="s">
        <v>24</v>
      </c>
      <c r="O887" s="4">
        <v>211798</v>
      </c>
      <c r="P887" s="4">
        <v>4426</v>
      </c>
      <c r="Q887" s="4">
        <v>72011</v>
      </c>
      <c r="R887" s="4">
        <v>283810</v>
      </c>
      <c r="S887" s="5">
        <v>0.4</v>
      </c>
      <c r="T887" s="4">
        <v>113524</v>
      </c>
      <c r="U887" s="4">
        <v>397334</v>
      </c>
      <c r="V887" s="6">
        <f t="shared" si="26"/>
        <v>10728.018000000002</v>
      </c>
      <c r="W887" s="6">
        <f t="shared" si="27"/>
        <v>386605.98200000002</v>
      </c>
    </row>
    <row r="888" spans="1:23" x14ac:dyDescent="0.3">
      <c r="A888" s="2" t="s">
        <v>21</v>
      </c>
      <c r="B888" s="2">
        <v>3.0529999999999999</v>
      </c>
      <c r="C888" s="2">
        <v>2000303687</v>
      </c>
      <c r="D888" s="2">
        <v>23.5</v>
      </c>
      <c r="E888" s="2"/>
      <c r="F888" s="2">
        <v>300</v>
      </c>
      <c r="G888" s="2">
        <v>750</v>
      </c>
      <c r="H888" s="2"/>
      <c r="I888" s="2"/>
      <c r="J888" s="3">
        <f>IF(A888="Upgrade",IF(OR(H888=4,H888=5),VLOOKUP(I888,'Renewal Rates'!$A$22:$B$27,2,FALSE),2.7%),IF(A888="Renewal",100%,0%))</f>
        <v>2.7000000000000003E-2</v>
      </c>
      <c r="K888" s="2" t="s">
        <v>22</v>
      </c>
      <c r="L888" s="2">
        <v>386</v>
      </c>
      <c r="M888" s="2" t="s">
        <v>23</v>
      </c>
      <c r="N888" s="2" t="s">
        <v>24</v>
      </c>
      <c r="O888" s="4">
        <v>120331</v>
      </c>
      <c r="P888" s="4">
        <v>5128</v>
      </c>
      <c r="Q888" s="4">
        <v>40912</v>
      </c>
      <c r="R888" s="4">
        <v>161243</v>
      </c>
      <c r="S888" s="5">
        <v>0.4</v>
      </c>
      <c r="T888" s="4">
        <v>64497</v>
      </c>
      <c r="U888" s="4">
        <v>225740</v>
      </c>
      <c r="V888" s="6">
        <f t="shared" si="26"/>
        <v>6094.9800000000005</v>
      </c>
      <c r="W888" s="6">
        <f t="shared" si="27"/>
        <v>219645.02</v>
      </c>
    </row>
    <row r="889" spans="1:23" x14ac:dyDescent="0.3">
      <c r="A889" s="2" t="s">
        <v>21</v>
      </c>
      <c r="B889" s="2">
        <v>3.0630000000000002</v>
      </c>
      <c r="C889" s="2">
        <v>2000601981</v>
      </c>
      <c r="D889" s="2">
        <v>46.9</v>
      </c>
      <c r="E889" s="2"/>
      <c r="F889" s="2">
        <v>375</v>
      </c>
      <c r="G889" s="2">
        <v>750</v>
      </c>
      <c r="H889" s="2">
        <v>4</v>
      </c>
      <c r="I889" s="2">
        <v>4</v>
      </c>
      <c r="J889" s="3">
        <f>IF(A889="Upgrade",IF(OR(H889=4,H889=5),VLOOKUP(I889,'Renewal Rates'!$A$22:$B$27,2,FALSE),2.7%),IF(A889="Renewal",100%,0%))</f>
        <v>0.7</v>
      </c>
      <c r="K889" s="2" t="s">
        <v>22</v>
      </c>
      <c r="L889" s="2">
        <v>386</v>
      </c>
      <c r="M889" s="2" t="s">
        <v>23</v>
      </c>
      <c r="N889" s="2" t="s">
        <v>24</v>
      </c>
      <c r="O889" s="4">
        <v>191054</v>
      </c>
      <c r="P889" s="4">
        <v>4075</v>
      </c>
      <c r="Q889" s="4">
        <v>64958</v>
      </c>
      <c r="R889" s="4">
        <v>256012</v>
      </c>
      <c r="S889" s="5">
        <v>0.4</v>
      </c>
      <c r="T889" s="4">
        <v>102405</v>
      </c>
      <c r="U889" s="4">
        <v>358417</v>
      </c>
      <c r="V889" s="6">
        <f t="shared" si="26"/>
        <v>250891.9</v>
      </c>
      <c r="W889" s="6">
        <f t="shared" si="27"/>
        <v>107525.1</v>
      </c>
    </row>
    <row r="890" spans="1:23" x14ac:dyDescent="0.3">
      <c r="A890" s="2" t="s">
        <v>21</v>
      </c>
      <c r="B890" s="2">
        <v>3.0630000000000002</v>
      </c>
      <c r="C890" s="2">
        <v>2000548131</v>
      </c>
      <c r="D890" s="2">
        <v>91.4</v>
      </c>
      <c r="E890" s="2"/>
      <c r="F890" s="2">
        <v>300</v>
      </c>
      <c r="G890" s="2">
        <v>750</v>
      </c>
      <c r="H890" s="2"/>
      <c r="I890" s="2"/>
      <c r="J890" s="3">
        <f>IF(A890="Upgrade",IF(OR(H890=4,H890=5),VLOOKUP(I890,'Renewal Rates'!$A$22:$B$27,2,FALSE),2.7%),IF(A890="Renewal",100%,0%))</f>
        <v>2.7000000000000003E-2</v>
      </c>
      <c r="K890" s="2" t="s">
        <v>22</v>
      </c>
      <c r="L890" s="2">
        <v>386</v>
      </c>
      <c r="M890" s="2" t="s">
        <v>23</v>
      </c>
      <c r="N890" s="2" t="s">
        <v>24</v>
      </c>
      <c r="O890" s="4">
        <v>373307</v>
      </c>
      <c r="P890" s="4">
        <v>4083</v>
      </c>
      <c r="Q890" s="4">
        <v>126924</v>
      </c>
      <c r="R890" s="4">
        <v>500231</v>
      </c>
      <c r="S890" s="5">
        <v>0.4</v>
      </c>
      <c r="T890" s="4">
        <v>200093</v>
      </c>
      <c r="U890" s="4">
        <v>700324</v>
      </c>
      <c r="V890" s="6">
        <f t="shared" si="26"/>
        <v>18908.748000000003</v>
      </c>
      <c r="W890" s="6">
        <f t="shared" si="27"/>
        <v>681415.25199999998</v>
      </c>
    </row>
    <row r="891" spans="1:23" x14ac:dyDescent="0.3">
      <c r="A891" s="2" t="s">
        <v>21</v>
      </c>
      <c r="B891" s="2">
        <v>3.0630000000000002</v>
      </c>
      <c r="C891" s="2">
        <v>2000337821</v>
      </c>
      <c r="D891" s="2">
        <v>95.5</v>
      </c>
      <c r="E891" s="2"/>
      <c r="F891" s="2">
        <v>225</v>
      </c>
      <c r="G891" s="2">
        <v>750</v>
      </c>
      <c r="H891" s="2"/>
      <c r="I891" s="2"/>
      <c r="J891" s="3">
        <f>IF(A891="Upgrade",IF(OR(H891=4,H891=5),VLOOKUP(I891,'Renewal Rates'!$A$22:$B$27,2,FALSE),2.7%),IF(A891="Renewal",100%,0%))</f>
        <v>2.7000000000000003E-2</v>
      </c>
      <c r="K891" s="2" t="s">
        <v>22</v>
      </c>
      <c r="L891" s="2">
        <v>386</v>
      </c>
      <c r="M891" s="2" t="s">
        <v>23</v>
      </c>
      <c r="N891" s="2" t="s">
        <v>24</v>
      </c>
      <c r="O891" s="4">
        <v>398242</v>
      </c>
      <c r="P891" s="4">
        <v>4171</v>
      </c>
      <c r="Q891" s="4">
        <v>135402</v>
      </c>
      <c r="R891" s="4">
        <v>533645</v>
      </c>
      <c r="S891" s="5">
        <v>0.4</v>
      </c>
      <c r="T891" s="4">
        <v>213458</v>
      </c>
      <c r="U891" s="4">
        <v>747103</v>
      </c>
      <c r="V891" s="6">
        <f t="shared" si="26"/>
        <v>20171.781000000003</v>
      </c>
      <c r="W891" s="6">
        <f t="shared" si="27"/>
        <v>726931.21900000004</v>
      </c>
    </row>
    <row r="892" spans="1:23" x14ac:dyDescent="0.3">
      <c r="A892" s="2" t="s">
        <v>21</v>
      </c>
      <c r="B892" s="2">
        <v>3.0630000000000002</v>
      </c>
      <c r="C892" s="2">
        <v>2000736178</v>
      </c>
      <c r="D892" s="2">
        <v>14.1</v>
      </c>
      <c r="E892" s="2"/>
      <c r="F892" s="2">
        <v>225</v>
      </c>
      <c r="G892" s="2">
        <v>750</v>
      </c>
      <c r="H892" s="2"/>
      <c r="I892" s="2"/>
      <c r="J892" s="3">
        <f>IF(A892="Upgrade",IF(OR(H892=4,H892=5),VLOOKUP(I892,'Renewal Rates'!$A$22:$B$27,2,FALSE),2.7%),IF(A892="Renewal",100%,0%))</f>
        <v>2.7000000000000003E-2</v>
      </c>
      <c r="K892" s="2" t="s">
        <v>22</v>
      </c>
      <c r="L892" s="2">
        <v>386</v>
      </c>
      <c r="M892" s="2" t="s">
        <v>23</v>
      </c>
      <c r="N892" s="2" t="s">
        <v>24</v>
      </c>
      <c r="O892" s="4">
        <v>88197</v>
      </c>
      <c r="P892" s="4">
        <v>6242</v>
      </c>
      <c r="Q892" s="4">
        <v>29987</v>
      </c>
      <c r="R892" s="4">
        <v>118184</v>
      </c>
      <c r="S892" s="5">
        <v>0.4</v>
      </c>
      <c r="T892" s="4">
        <v>47274</v>
      </c>
      <c r="U892" s="4">
        <v>165457</v>
      </c>
      <c r="V892" s="6">
        <f t="shared" si="26"/>
        <v>4467.3390000000009</v>
      </c>
      <c r="W892" s="6">
        <f t="shared" si="27"/>
        <v>160989.66099999999</v>
      </c>
    </row>
    <row r="893" spans="1:23" x14ac:dyDescent="0.3">
      <c r="A893" s="2" t="s">
        <v>21</v>
      </c>
      <c r="B893" s="2">
        <v>3.0630000000000002</v>
      </c>
      <c r="C893" s="2">
        <v>2000689564</v>
      </c>
      <c r="D893" s="2">
        <v>27.5</v>
      </c>
      <c r="E893" s="2"/>
      <c r="F893" s="2">
        <v>225</v>
      </c>
      <c r="G893" s="2">
        <v>750</v>
      </c>
      <c r="H893" s="2"/>
      <c r="I893" s="2"/>
      <c r="J893" s="3">
        <f>IF(A893="Upgrade",IF(OR(H893=4,H893=5),VLOOKUP(I893,'Renewal Rates'!$A$22:$B$27,2,FALSE),2.7%),IF(A893="Renewal",100%,0%))</f>
        <v>2.7000000000000003E-2</v>
      </c>
      <c r="K893" s="2" t="s">
        <v>22</v>
      </c>
      <c r="L893" s="2">
        <v>386</v>
      </c>
      <c r="M893" s="2" t="s">
        <v>23</v>
      </c>
      <c r="N893" s="2" t="s">
        <v>24</v>
      </c>
      <c r="O893" s="4">
        <v>125829</v>
      </c>
      <c r="P893" s="4">
        <v>4574</v>
      </c>
      <c r="Q893" s="4">
        <v>42782</v>
      </c>
      <c r="R893" s="4">
        <v>168610</v>
      </c>
      <c r="S893" s="5">
        <v>0.4</v>
      </c>
      <c r="T893" s="4">
        <v>67444</v>
      </c>
      <c r="U893" s="4">
        <v>236055</v>
      </c>
      <c r="V893" s="6">
        <f t="shared" si="26"/>
        <v>6373.4850000000006</v>
      </c>
      <c r="W893" s="6">
        <f t="shared" si="27"/>
        <v>229681.51500000001</v>
      </c>
    </row>
    <row r="894" spans="1:23" x14ac:dyDescent="0.3">
      <c r="A894" s="2" t="s">
        <v>21</v>
      </c>
      <c r="B894" s="2">
        <v>3.052</v>
      </c>
      <c r="C894" s="2">
        <v>2000766808</v>
      </c>
      <c r="D894" s="2">
        <v>3.5</v>
      </c>
      <c r="E894" s="2"/>
      <c r="F894" s="2">
        <v>225</v>
      </c>
      <c r="G894" s="2">
        <v>525</v>
      </c>
      <c r="H894" s="2"/>
      <c r="I894" s="2"/>
      <c r="J894" s="3">
        <f>IF(A894="Upgrade",IF(OR(H894=4,H894=5),VLOOKUP(I894,'Renewal Rates'!$A$22:$B$27,2,FALSE),2.7%),IF(A894="Renewal",100%,0%))</f>
        <v>2.7000000000000003E-2</v>
      </c>
      <c r="K894" s="2" t="s">
        <v>22</v>
      </c>
      <c r="L894" s="2">
        <v>386</v>
      </c>
      <c r="M894" s="2" t="s">
        <v>23</v>
      </c>
      <c r="N894" s="2" t="s">
        <v>24</v>
      </c>
      <c r="O894" s="4">
        <v>46984</v>
      </c>
      <c r="P894" s="4">
        <v>13409</v>
      </c>
      <c r="Q894" s="4">
        <v>15975</v>
      </c>
      <c r="R894" s="4">
        <v>62959</v>
      </c>
      <c r="S894" s="5">
        <v>0.4</v>
      </c>
      <c r="T894" s="4">
        <v>25184</v>
      </c>
      <c r="U894" s="4">
        <v>88143</v>
      </c>
      <c r="V894" s="6">
        <f t="shared" si="26"/>
        <v>2379.8610000000003</v>
      </c>
      <c r="W894" s="6">
        <f t="shared" si="27"/>
        <v>85763.138999999996</v>
      </c>
    </row>
    <row r="895" spans="1:23" x14ac:dyDescent="0.3">
      <c r="A895" s="2" t="s">
        <v>21</v>
      </c>
      <c r="B895" s="2">
        <v>3.052</v>
      </c>
      <c r="C895" s="2">
        <v>2000644465</v>
      </c>
      <c r="D895" s="2">
        <v>9</v>
      </c>
      <c r="E895" s="2"/>
      <c r="F895" s="2">
        <v>225</v>
      </c>
      <c r="G895" s="2">
        <v>525</v>
      </c>
      <c r="H895" s="2"/>
      <c r="I895" s="2"/>
      <c r="J895" s="3">
        <f>IF(A895="Upgrade",IF(OR(H895=4,H895=5),VLOOKUP(I895,'Renewal Rates'!$A$22:$B$27,2,FALSE),2.7%),IF(A895="Renewal",100%,0%))</f>
        <v>2.7000000000000003E-2</v>
      </c>
      <c r="K895" s="2" t="s">
        <v>22</v>
      </c>
      <c r="L895" s="2">
        <v>386</v>
      </c>
      <c r="M895" s="2" t="s">
        <v>23</v>
      </c>
      <c r="N895" s="2" t="s">
        <v>24</v>
      </c>
      <c r="O895" s="4">
        <v>51817</v>
      </c>
      <c r="P895" s="4">
        <v>5732</v>
      </c>
      <c r="Q895" s="4">
        <v>17618</v>
      </c>
      <c r="R895" s="4">
        <v>69434</v>
      </c>
      <c r="S895" s="5">
        <v>0.4</v>
      </c>
      <c r="T895" s="4">
        <v>27774</v>
      </c>
      <c r="U895" s="4">
        <v>97208</v>
      </c>
      <c r="V895" s="6">
        <f t="shared" si="26"/>
        <v>2624.6160000000004</v>
      </c>
      <c r="W895" s="6">
        <f t="shared" si="27"/>
        <v>94583.384000000005</v>
      </c>
    </row>
    <row r="896" spans="1:23" x14ac:dyDescent="0.3">
      <c r="A896" s="2" t="s">
        <v>21</v>
      </c>
      <c r="B896" s="2">
        <v>3.0489999999999999</v>
      </c>
      <c r="C896" s="2">
        <v>2000326967</v>
      </c>
      <c r="D896" s="2">
        <v>87.2</v>
      </c>
      <c r="E896" s="2"/>
      <c r="F896" s="2">
        <v>300</v>
      </c>
      <c r="G896" s="2">
        <v>1125</v>
      </c>
      <c r="H896" s="2">
        <v>4</v>
      </c>
      <c r="I896" s="2">
        <v>5</v>
      </c>
      <c r="J896" s="3">
        <f>IF(A896="Upgrade",IF(OR(H896=4,H896=5),VLOOKUP(I896,'Renewal Rates'!$A$22:$B$27,2,FALSE),2.7%),IF(A896="Renewal",100%,0%))</f>
        <v>0.7</v>
      </c>
      <c r="K896" s="2" t="s">
        <v>54</v>
      </c>
      <c r="L896" s="2">
        <v>386</v>
      </c>
      <c r="M896" s="2" t="s">
        <v>23</v>
      </c>
      <c r="N896" s="2" t="s">
        <v>24</v>
      </c>
      <c r="O896" s="4">
        <v>589897</v>
      </c>
      <c r="P896" s="4">
        <v>6762</v>
      </c>
      <c r="Q896" s="4">
        <v>200565</v>
      </c>
      <c r="R896" s="4">
        <v>790462</v>
      </c>
      <c r="S896" s="5">
        <v>0.4</v>
      </c>
      <c r="T896" s="4">
        <v>316185</v>
      </c>
      <c r="U896" s="4">
        <v>1106646</v>
      </c>
      <c r="V896" s="6">
        <f t="shared" si="26"/>
        <v>774652.2</v>
      </c>
      <c r="W896" s="6">
        <f t="shared" si="27"/>
        <v>331993.80000000005</v>
      </c>
    </row>
    <row r="897" spans="1:23" x14ac:dyDescent="0.3">
      <c r="A897" s="2" t="s">
        <v>21</v>
      </c>
      <c r="B897" s="2">
        <v>3.0489999999999999</v>
      </c>
      <c r="C897" s="2">
        <v>2000087594</v>
      </c>
      <c r="D897" s="2">
        <v>22.5</v>
      </c>
      <c r="E897" s="2"/>
      <c r="F897" s="2">
        <v>225</v>
      </c>
      <c r="G897" s="2">
        <v>1125</v>
      </c>
      <c r="H897" s="2"/>
      <c r="I897" s="2"/>
      <c r="J897" s="3">
        <f>IF(A897="Upgrade",IF(OR(H897=4,H897=5),VLOOKUP(I897,'Renewal Rates'!$A$22:$B$27,2,FALSE),2.7%),IF(A897="Renewal",100%,0%))</f>
        <v>2.7000000000000003E-2</v>
      </c>
      <c r="K897" s="2" t="s">
        <v>54</v>
      </c>
      <c r="L897" s="2">
        <v>386</v>
      </c>
      <c r="M897" s="2" t="s">
        <v>23</v>
      </c>
      <c r="N897" s="2" t="s">
        <v>24</v>
      </c>
      <c r="O897" s="4">
        <v>183384</v>
      </c>
      <c r="P897" s="4">
        <v>8156</v>
      </c>
      <c r="Q897" s="4">
        <v>62351</v>
      </c>
      <c r="R897" s="4">
        <v>245735</v>
      </c>
      <c r="S897" s="5">
        <v>0.4</v>
      </c>
      <c r="T897" s="4">
        <v>98294</v>
      </c>
      <c r="U897" s="4">
        <v>344029</v>
      </c>
      <c r="V897" s="6">
        <f t="shared" si="26"/>
        <v>9288.7830000000013</v>
      </c>
      <c r="W897" s="6">
        <f t="shared" si="27"/>
        <v>334740.217</v>
      </c>
    </row>
    <row r="898" spans="1:23" x14ac:dyDescent="0.3">
      <c r="A898" s="2" t="s">
        <v>21</v>
      </c>
      <c r="B898" s="2">
        <v>3.0489999999999999</v>
      </c>
      <c r="C898" s="2">
        <v>2000180027</v>
      </c>
      <c r="D898" s="2">
        <v>15</v>
      </c>
      <c r="E898" s="2"/>
      <c r="F898" s="2">
        <v>225</v>
      </c>
      <c r="G898" s="2">
        <v>1125</v>
      </c>
      <c r="H898" s="2"/>
      <c r="I898" s="2"/>
      <c r="J898" s="3">
        <f>IF(A898="Upgrade",IF(OR(H898=4,H898=5),VLOOKUP(I898,'Renewal Rates'!$A$22:$B$27,2,FALSE),2.7%),IF(A898="Renewal",100%,0%))</f>
        <v>2.7000000000000003E-2</v>
      </c>
      <c r="K898" s="2" t="s">
        <v>54</v>
      </c>
      <c r="L898" s="2">
        <v>386</v>
      </c>
      <c r="M898" s="2" t="s">
        <v>23</v>
      </c>
      <c r="N898" s="2" t="s">
        <v>24</v>
      </c>
      <c r="O898" s="4">
        <v>144400</v>
      </c>
      <c r="P898" s="4">
        <v>9598</v>
      </c>
      <c r="Q898" s="4">
        <v>49096</v>
      </c>
      <c r="R898" s="4">
        <v>193496</v>
      </c>
      <c r="S898" s="5">
        <v>0.4</v>
      </c>
      <c r="T898" s="4">
        <v>77398</v>
      </c>
      <c r="U898" s="4">
        <v>270895</v>
      </c>
      <c r="V898" s="6">
        <f t="shared" si="26"/>
        <v>7314.1650000000009</v>
      </c>
      <c r="W898" s="6">
        <f t="shared" si="27"/>
        <v>263580.83500000002</v>
      </c>
    </row>
    <row r="899" spans="1:23" x14ac:dyDescent="0.3">
      <c r="A899" s="2" t="s">
        <v>21</v>
      </c>
      <c r="B899" s="2">
        <v>3.0489999999999999</v>
      </c>
      <c r="C899" s="2">
        <v>2000427348</v>
      </c>
      <c r="D899" s="2">
        <v>54.2</v>
      </c>
      <c r="E899" s="2"/>
      <c r="F899" s="2">
        <v>225</v>
      </c>
      <c r="G899" s="2">
        <v>1125</v>
      </c>
      <c r="H899" s="2"/>
      <c r="I899" s="2"/>
      <c r="J899" s="3">
        <f>IF(A899="Upgrade",IF(OR(H899=4,H899=5),VLOOKUP(I899,'Renewal Rates'!$A$22:$B$27,2,FALSE),2.7%),IF(A899="Renewal",100%,0%))</f>
        <v>2.7000000000000003E-2</v>
      </c>
      <c r="K899" s="2" t="s">
        <v>54</v>
      </c>
      <c r="L899" s="2">
        <v>386</v>
      </c>
      <c r="M899" s="2" t="s">
        <v>23</v>
      </c>
      <c r="N899" s="2" t="s">
        <v>24</v>
      </c>
      <c r="O899" s="4">
        <v>404050</v>
      </c>
      <c r="P899" s="4">
        <v>7456</v>
      </c>
      <c r="Q899" s="4">
        <v>137377</v>
      </c>
      <c r="R899" s="4">
        <v>541427</v>
      </c>
      <c r="S899" s="5">
        <v>0.4</v>
      </c>
      <c r="T899" s="4">
        <v>216571</v>
      </c>
      <c r="U899" s="4">
        <v>757997</v>
      </c>
      <c r="V899" s="6">
        <f t="shared" ref="V899:V962" si="28">J899*U899</f>
        <v>20465.919000000002</v>
      </c>
      <c r="W899" s="6">
        <f t="shared" ref="W899:W962" si="29">U899-V899</f>
        <v>737531.08100000001</v>
      </c>
    </row>
    <row r="900" spans="1:23" x14ac:dyDescent="0.3">
      <c r="A900" s="2" t="s">
        <v>21</v>
      </c>
      <c r="B900" s="2">
        <v>3.05</v>
      </c>
      <c r="C900" s="2">
        <v>2000130082</v>
      </c>
      <c r="D900" s="2">
        <v>29.7</v>
      </c>
      <c r="E900" s="2"/>
      <c r="F900" s="2">
        <v>225</v>
      </c>
      <c r="G900" s="2">
        <v>975</v>
      </c>
      <c r="H900" s="2"/>
      <c r="I900" s="2"/>
      <c r="J900" s="3">
        <f>IF(A900="Upgrade",IF(OR(H900=4,H900=5),VLOOKUP(I900,'Renewal Rates'!$A$22:$B$27,2,FALSE),2.7%),IF(A900="Renewal",100%,0%))</f>
        <v>2.7000000000000003E-2</v>
      </c>
      <c r="K900" s="2" t="s">
        <v>54</v>
      </c>
      <c r="L900" s="2">
        <v>386</v>
      </c>
      <c r="M900" s="2" t="s">
        <v>23</v>
      </c>
      <c r="N900" s="2" t="s">
        <v>24</v>
      </c>
      <c r="O900" s="4">
        <v>212939</v>
      </c>
      <c r="P900" s="4">
        <v>7158</v>
      </c>
      <c r="Q900" s="4">
        <v>72399</v>
      </c>
      <c r="R900" s="4">
        <v>285338</v>
      </c>
      <c r="S900" s="5">
        <v>0.4</v>
      </c>
      <c r="T900" s="4">
        <v>114135</v>
      </c>
      <c r="U900" s="4">
        <v>399474</v>
      </c>
      <c r="V900" s="6">
        <f t="shared" si="28"/>
        <v>10785.798000000001</v>
      </c>
      <c r="W900" s="6">
        <f t="shared" si="29"/>
        <v>388688.20199999999</v>
      </c>
    </row>
    <row r="901" spans="1:23" x14ac:dyDescent="0.3">
      <c r="A901" s="2" t="s">
        <v>21</v>
      </c>
      <c r="B901" s="2">
        <v>3.05</v>
      </c>
      <c r="C901" s="2">
        <v>2000794336</v>
      </c>
      <c r="D901" s="2">
        <v>76.7</v>
      </c>
      <c r="E901" s="2"/>
      <c r="F901" s="2">
        <v>225</v>
      </c>
      <c r="G901" s="2">
        <v>975</v>
      </c>
      <c r="H901" s="2"/>
      <c r="I901" s="2"/>
      <c r="J901" s="3">
        <f>IF(A901="Upgrade",IF(OR(H901=4,H901=5),VLOOKUP(I901,'Renewal Rates'!$A$22:$B$27,2,FALSE),2.7%),IF(A901="Renewal",100%,0%))</f>
        <v>2.7000000000000003E-2</v>
      </c>
      <c r="K901" s="2" t="s">
        <v>54</v>
      </c>
      <c r="L901" s="2">
        <v>386</v>
      </c>
      <c r="M901" s="2" t="s">
        <v>23</v>
      </c>
      <c r="N901" s="2" t="s">
        <v>24</v>
      </c>
      <c r="O901" s="4">
        <v>474866</v>
      </c>
      <c r="P901" s="4">
        <v>6191</v>
      </c>
      <c r="Q901" s="4">
        <v>161454</v>
      </c>
      <c r="R901" s="4">
        <v>636320</v>
      </c>
      <c r="S901" s="5">
        <v>0.4</v>
      </c>
      <c r="T901" s="4">
        <v>254528</v>
      </c>
      <c r="U901" s="4">
        <v>890848</v>
      </c>
      <c r="V901" s="6">
        <f t="shared" si="28"/>
        <v>24052.896000000004</v>
      </c>
      <c r="W901" s="6">
        <f t="shared" si="29"/>
        <v>866795.10400000005</v>
      </c>
    </row>
    <row r="902" spans="1:23" x14ac:dyDescent="0.3">
      <c r="A902" s="2" t="s">
        <v>21</v>
      </c>
      <c r="B902" s="2">
        <v>3.05</v>
      </c>
      <c r="C902" s="2">
        <v>2000080257</v>
      </c>
      <c r="D902" s="2">
        <v>68.900000000000006</v>
      </c>
      <c r="E902" s="2"/>
      <c r="F902" s="2">
        <v>300</v>
      </c>
      <c r="G902" s="2">
        <v>975</v>
      </c>
      <c r="H902" s="2"/>
      <c r="I902" s="2"/>
      <c r="J902" s="3">
        <f>IF(A902="Upgrade",IF(OR(H902=4,H902=5),VLOOKUP(I902,'Renewal Rates'!$A$22:$B$27,2,FALSE),2.7%),IF(A902="Renewal",100%,0%))</f>
        <v>2.7000000000000003E-2</v>
      </c>
      <c r="K902" s="2" t="s">
        <v>54</v>
      </c>
      <c r="L902" s="2">
        <v>386</v>
      </c>
      <c r="M902" s="2" t="s">
        <v>23</v>
      </c>
      <c r="N902" s="2" t="s">
        <v>24</v>
      </c>
      <c r="O902" s="4">
        <v>437655</v>
      </c>
      <c r="P902" s="4">
        <v>6355</v>
      </c>
      <c r="Q902" s="4">
        <v>148803</v>
      </c>
      <c r="R902" s="4">
        <v>586458</v>
      </c>
      <c r="S902" s="5">
        <v>0.4</v>
      </c>
      <c r="T902" s="4">
        <v>234583</v>
      </c>
      <c r="U902" s="4">
        <v>821041</v>
      </c>
      <c r="V902" s="6">
        <f t="shared" si="28"/>
        <v>22168.107000000004</v>
      </c>
      <c r="W902" s="6">
        <f t="shared" si="29"/>
        <v>798872.89300000004</v>
      </c>
    </row>
    <row r="903" spans="1:23" x14ac:dyDescent="0.3">
      <c r="A903" s="2" t="s">
        <v>21</v>
      </c>
      <c r="B903" s="2">
        <v>3.05</v>
      </c>
      <c r="C903" s="2">
        <v>2000095718</v>
      </c>
      <c r="D903" s="2">
        <v>17.3</v>
      </c>
      <c r="E903" s="2"/>
      <c r="F903" s="2">
        <v>225</v>
      </c>
      <c r="G903" s="2">
        <v>975</v>
      </c>
      <c r="H903" s="2"/>
      <c r="I903" s="2"/>
      <c r="J903" s="3">
        <f>IF(A903="Upgrade",IF(OR(H903=4,H903=5),VLOOKUP(I903,'Renewal Rates'!$A$22:$B$27,2,FALSE),2.7%),IF(A903="Renewal",100%,0%))</f>
        <v>2.7000000000000003E-2</v>
      </c>
      <c r="K903" s="2" t="s">
        <v>54</v>
      </c>
      <c r="L903" s="2">
        <v>386</v>
      </c>
      <c r="M903" s="2" t="s">
        <v>23</v>
      </c>
      <c r="N903" s="2" t="s">
        <v>24</v>
      </c>
      <c r="O903" s="4">
        <v>144426</v>
      </c>
      <c r="P903" s="4">
        <v>8360</v>
      </c>
      <c r="Q903" s="4">
        <v>49105</v>
      </c>
      <c r="R903" s="4">
        <v>193531</v>
      </c>
      <c r="S903" s="5">
        <v>0.4</v>
      </c>
      <c r="T903" s="4">
        <v>77412</v>
      </c>
      <c r="U903" s="4">
        <v>270943</v>
      </c>
      <c r="V903" s="6">
        <f t="shared" si="28"/>
        <v>7315.4610000000011</v>
      </c>
      <c r="W903" s="6">
        <f t="shared" si="29"/>
        <v>263627.53899999999</v>
      </c>
    </row>
    <row r="904" spans="1:23" x14ac:dyDescent="0.3">
      <c r="A904" s="2" t="s">
        <v>25</v>
      </c>
      <c r="B904" s="2">
        <v>3.0139999999999998</v>
      </c>
      <c r="C904" s="2"/>
      <c r="D904" s="2"/>
      <c r="E904" s="2">
        <v>70.599999999999994</v>
      </c>
      <c r="F904" s="2"/>
      <c r="G904" s="2">
        <v>450</v>
      </c>
      <c r="H904" s="2"/>
      <c r="I904" s="2"/>
      <c r="J904" s="3">
        <f>IF(A904="Upgrade",IF(OR(H904=4,H904=5),VLOOKUP(I904,'Renewal Rates'!$A$22:$B$27,2,FALSE),2.7%),IF(A904="Renewal",100%,0%))</f>
        <v>0</v>
      </c>
      <c r="K904" s="2" t="s">
        <v>22</v>
      </c>
      <c r="L904" s="2">
        <v>386</v>
      </c>
      <c r="M904" s="2" t="s">
        <v>23</v>
      </c>
      <c r="N904" s="2" t="s">
        <v>24</v>
      </c>
      <c r="O904" s="4">
        <v>191790</v>
      </c>
      <c r="P904" s="4">
        <v>2717</v>
      </c>
      <c r="Q904" s="4">
        <v>65209</v>
      </c>
      <c r="R904" s="4">
        <v>256999</v>
      </c>
      <c r="S904" s="5">
        <v>0.4</v>
      </c>
      <c r="T904" s="4">
        <v>102800</v>
      </c>
      <c r="U904" s="4">
        <v>359799</v>
      </c>
      <c r="V904" s="6">
        <f t="shared" si="28"/>
        <v>0</v>
      </c>
      <c r="W904" s="6">
        <f t="shared" si="29"/>
        <v>359799</v>
      </c>
    </row>
    <row r="905" spans="1:23" x14ac:dyDescent="0.3">
      <c r="A905" s="2" t="s">
        <v>25</v>
      </c>
      <c r="B905" s="2">
        <v>3.0019999999999998</v>
      </c>
      <c r="C905" s="2"/>
      <c r="D905" s="2"/>
      <c r="E905" s="2">
        <v>101.8</v>
      </c>
      <c r="F905" s="2"/>
      <c r="G905" s="2">
        <v>450</v>
      </c>
      <c r="H905" s="2"/>
      <c r="I905" s="2"/>
      <c r="J905" s="3">
        <f>IF(A905="Upgrade",IF(OR(H905=4,H905=5),VLOOKUP(I905,'Renewal Rates'!$A$22:$B$27,2,FALSE),2.7%),IF(A905="Renewal",100%,0%))</f>
        <v>0</v>
      </c>
      <c r="K905" s="2" t="s">
        <v>22</v>
      </c>
      <c r="L905" s="2">
        <v>386</v>
      </c>
      <c r="M905" s="2" t="s">
        <v>23</v>
      </c>
      <c r="N905" s="2" t="s">
        <v>24</v>
      </c>
      <c r="O905" s="4">
        <v>291660</v>
      </c>
      <c r="P905" s="4">
        <v>2866</v>
      </c>
      <c r="Q905" s="4">
        <v>99164</v>
      </c>
      <c r="R905" s="4">
        <v>390824</v>
      </c>
      <c r="S905" s="5">
        <v>0.4</v>
      </c>
      <c r="T905" s="4">
        <v>156330</v>
      </c>
      <c r="U905" s="4">
        <v>547154</v>
      </c>
      <c r="V905" s="6">
        <f t="shared" si="28"/>
        <v>0</v>
      </c>
      <c r="W905" s="6">
        <f t="shared" si="29"/>
        <v>547154</v>
      </c>
    </row>
    <row r="906" spans="1:23" x14ac:dyDescent="0.3">
      <c r="A906" s="2" t="s">
        <v>25</v>
      </c>
      <c r="B906" s="2">
        <v>3.0030000000000001</v>
      </c>
      <c r="C906" s="2"/>
      <c r="D906" s="2"/>
      <c r="E906" s="2">
        <v>52.2</v>
      </c>
      <c r="F906" s="2"/>
      <c r="G906" s="2">
        <v>450</v>
      </c>
      <c r="H906" s="2"/>
      <c r="I906" s="2"/>
      <c r="J906" s="3">
        <f>IF(A906="Upgrade",IF(OR(H906=4,H906=5),VLOOKUP(I906,'Renewal Rates'!$A$22:$B$27,2,FALSE),2.7%),IF(A906="Renewal",100%,0%))</f>
        <v>0</v>
      </c>
      <c r="K906" s="2" t="s">
        <v>22</v>
      </c>
      <c r="L906" s="2">
        <v>386</v>
      </c>
      <c r="M906" s="2" t="s">
        <v>23</v>
      </c>
      <c r="N906" s="2" t="s">
        <v>24</v>
      </c>
      <c r="O906" s="4">
        <v>159265</v>
      </c>
      <c r="P906" s="4">
        <v>3050</v>
      </c>
      <c r="Q906" s="4">
        <v>54150</v>
      </c>
      <c r="R906" s="4">
        <v>213415</v>
      </c>
      <c r="S906" s="5">
        <v>0.4</v>
      </c>
      <c r="T906" s="4">
        <v>85366</v>
      </c>
      <c r="U906" s="4">
        <v>298782</v>
      </c>
      <c r="V906" s="6">
        <f t="shared" si="28"/>
        <v>0</v>
      </c>
      <c r="W906" s="6">
        <f t="shared" si="29"/>
        <v>298782</v>
      </c>
    </row>
    <row r="907" spans="1:23" x14ac:dyDescent="0.3">
      <c r="A907" s="2" t="s">
        <v>25</v>
      </c>
      <c r="B907" s="2">
        <v>3.012</v>
      </c>
      <c r="C907" s="2"/>
      <c r="D907" s="2"/>
      <c r="E907" s="2">
        <v>70.7</v>
      </c>
      <c r="F907" s="2"/>
      <c r="G907" s="2">
        <v>525</v>
      </c>
      <c r="H907" s="2"/>
      <c r="I907" s="2"/>
      <c r="J907" s="3">
        <f>IF(A907="Upgrade",IF(OR(H907=4,H907=5),VLOOKUP(I907,'Renewal Rates'!$A$22:$B$27,2,FALSE),2.7%),IF(A907="Renewal",100%,0%))</f>
        <v>0</v>
      </c>
      <c r="K907" s="2" t="s">
        <v>22</v>
      </c>
      <c r="L907" s="2">
        <v>386</v>
      </c>
      <c r="M907" s="2" t="s">
        <v>23</v>
      </c>
      <c r="N907" s="2" t="s">
        <v>24</v>
      </c>
      <c r="O907" s="4">
        <v>221690</v>
      </c>
      <c r="P907" s="4">
        <v>3136</v>
      </c>
      <c r="Q907" s="4">
        <v>75375</v>
      </c>
      <c r="R907" s="4">
        <v>297065</v>
      </c>
      <c r="S907" s="5">
        <v>0.4</v>
      </c>
      <c r="T907" s="4">
        <v>118826</v>
      </c>
      <c r="U907" s="4">
        <v>415891</v>
      </c>
      <c r="V907" s="6">
        <f t="shared" si="28"/>
        <v>0</v>
      </c>
      <c r="W907" s="6">
        <f t="shared" si="29"/>
        <v>415891</v>
      </c>
    </row>
    <row r="908" spans="1:23" x14ac:dyDescent="0.3">
      <c r="A908" s="2" t="s">
        <v>25</v>
      </c>
      <c r="B908" s="2">
        <v>3.0089999999999999</v>
      </c>
      <c r="C908" s="2"/>
      <c r="D908" s="2"/>
      <c r="E908" s="2">
        <v>85.9</v>
      </c>
      <c r="F908" s="2"/>
      <c r="G908" s="2">
        <v>600</v>
      </c>
      <c r="H908" s="2"/>
      <c r="I908" s="2"/>
      <c r="J908" s="3">
        <f>IF(A908="Upgrade",IF(OR(H908=4,H908=5),VLOOKUP(I908,'Renewal Rates'!$A$22:$B$27,2,FALSE),2.7%),IF(A908="Renewal",100%,0%))</f>
        <v>0</v>
      </c>
      <c r="K908" s="2" t="s">
        <v>54</v>
      </c>
      <c r="L908" s="2">
        <v>386</v>
      </c>
      <c r="M908" s="2" t="s">
        <v>23</v>
      </c>
      <c r="N908" s="2" t="s">
        <v>24</v>
      </c>
      <c r="O908" s="4">
        <v>286772</v>
      </c>
      <c r="P908" s="4">
        <v>3338</v>
      </c>
      <c r="Q908" s="4">
        <v>97502</v>
      </c>
      <c r="R908" s="4">
        <v>384274</v>
      </c>
      <c r="S908" s="5">
        <v>0.4</v>
      </c>
      <c r="T908" s="4">
        <v>153710</v>
      </c>
      <c r="U908" s="4">
        <v>537984</v>
      </c>
      <c r="V908" s="6">
        <f t="shared" si="28"/>
        <v>0</v>
      </c>
      <c r="W908" s="6">
        <f t="shared" si="29"/>
        <v>537984</v>
      </c>
    </row>
    <row r="909" spans="1:23" x14ac:dyDescent="0.3">
      <c r="A909" s="2" t="s">
        <v>25</v>
      </c>
      <c r="B909" s="2">
        <v>3.0070000000000001</v>
      </c>
      <c r="C909" s="2"/>
      <c r="D909" s="2"/>
      <c r="E909" s="2">
        <v>294.5</v>
      </c>
      <c r="F909" s="2"/>
      <c r="G909" s="2">
        <v>750</v>
      </c>
      <c r="H909" s="2"/>
      <c r="I909" s="2"/>
      <c r="J909" s="3">
        <f>IF(A909="Upgrade",IF(OR(H909=4,H909=5),VLOOKUP(I909,'Renewal Rates'!$A$22:$B$27,2,FALSE),2.7%),IF(A909="Renewal",100%,0%))</f>
        <v>0</v>
      </c>
      <c r="K909" s="2" t="s">
        <v>49</v>
      </c>
      <c r="L909" s="2">
        <v>386</v>
      </c>
      <c r="M909" s="2" t="s">
        <v>23</v>
      </c>
      <c r="N909" s="2" t="s">
        <v>24</v>
      </c>
      <c r="O909" s="4">
        <v>1174986</v>
      </c>
      <c r="P909" s="4">
        <v>3990</v>
      </c>
      <c r="Q909" s="4">
        <v>399495</v>
      </c>
      <c r="R909" s="4">
        <v>1574481</v>
      </c>
      <c r="S909" s="5">
        <v>0.4</v>
      </c>
      <c r="T909" s="4">
        <v>629792</v>
      </c>
      <c r="U909" s="4">
        <v>2204273</v>
      </c>
      <c r="V909" s="6">
        <f t="shared" si="28"/>
        <v>0</v>
      </c>
      <c r="W909" s="6">
        <f t="shared" si="29"/>
        <v>2204273</v>
      </c>
    </row>
    <row r="910" spans="1:23" x14ac:dyDescent="0.3">
      <c r="A910" s="2" t="s">
        <v>25</v>
      </c>
      <c r="B910" s="2">
        <v>3.004</v>
      </c>
      <c r="C910" s="2"/>
      <c r="D910" s="2"/>
      <c r="E910" s="2">
        <v>81</v>
      </c>
      <c r="F910" s="2"/>
      <c r="G910" s="2">
        <v>450</v>
      </c>
      <c r="H910" s="2"/>
      <c r="I910" s="2"/>
      <c r="J910" s="3">
        <f>IF(A910="Upgrade",IF(OR(H910=4,H910=5),VLOOKUP(I910,'Renewal Rates'!$A$22:$B$27,2,FALSE),2.7%),IF(A910="Renewal",100%,0%))</f>
        <v>0</v>
      </c>
      <c r="K910" s="2" t="s">
        <v>49</v>
      </c>
      <c r="L910" s="2">
        <v>386</v>
      </c>
      <c r="M910" s="2" t="s">
        <v>23</v>
      </c>
      <c r="N910" s="2" t="s">
        <v>24</v>
      </c>
      <c r="O910" s="4">
        <v>202303</v>
      </c>
      <c r="P910" s="4">
        <v>2496</v>
      </c>
      <c r="Q910" s="4">
        <v>68783</v>
      </c>
      <c r="R910" s="4">
        <v>271087</v>
      </c>
      <c r="S910" s="5">
        <v>0.4</v>
      </c>
      <c r="T910" s="4">
        <v>108435</v>
      </c>
      <c r="U910" s="4">
        <v>379521</v>
      </c>
      <c r="V910" s="6">
        <f t="shared" si="28"/>
        <v>0</v>
      </c>
      <c r="W910" s="6">
        <f t="shared" si="29"/>
        <v>379521</v>
      </c>
    </row>
    <row r="911" spans="1:23" x14ac:dyDescent="0.3">
      <c r="A911" s="2" t="s">
        <v>21</v>
      </c>
      <c r="B911" s="2">
        <v>4.01</v>
      </c>
      <c r="C911" s="2">
        <v>2000051820</v>
      </c>
      <c r="D911" s="2">
        <v>7.2</v>
      </c>
      <c r="E911" s="2"/>
      <c r="F911" s="2">
        <v>600</v>
      </c>
      <c r="G911" s="2">
        <v>825</v>
      </c>
      <c r="H911" s="2">
        <v>4</v>
      </c>
      <c r="I911" s="2">
        <v>2</v>
      </c>
      <c r="J911" s="3">
        <f>IF(A911="Upgrade",IF(OR(H911=4,H911=5),VLOOKUP(I911,'Renewal Rates'!$A$22:$B$27,2,FALSE),2.7%),IF(A911="Renewal",100%,0%))</f>
        <v>0</v>
      </c>
      <c r="K911" s="2" t="s">
        <v>22</v>
      </c>
      <c r="L911" s="2">
        <v>386</v>
      </c>
      <c r="M911" s="2" t="s">
        <v>23</v>
      </c>
      <c r="N911" s="2" t="s">
        <v>24</v>
      </c>
      <c r="O911" s="4">
        <v>83528</v>
      </c>
      <c r="P911" s="4">
        <v>11522</v>
      </c>
      <c r="Q911" s="4">
        <v>28400</v>
      </c>
      <c r="R911" s="4">
        <v>111928</v>
      </c>
      <c r="S911" s="5">
        <v>0.4</v>
      </c>
      <c r="T911" s="4">
        <v>44771</v>
      </c>
      <c r="U911" s="4">
        <v>156699</v>
      </c>
      <c r="V911" s="6">
        <f t="shared" si="28"/>
        <v>0</v>
      </c>
      <c r="W911" s="6">
        <f t="shared" si="29"/>
        <v>156699</v>
      </c>
    </row>
    <row r="912" spans="1:23" x14ac:dyDescent="0.3">
      <c r="A912" s="2" t="s">
        <v>21</v>
      </c>
      <c r="B912" s="2">
        <v>4.01</v>
      </c>
      <c r="C912" s="2">
        <v>2000798957</v>
      </c>
      <c r="D912" s="2">
        <v>5.6</v>
      </c>
      <c r="E912" s="2"/>
      <c r="F912" s="2">
        <v>600</v>
      </c>
      <c r="G912" s="2">
        <v>825</v>
      </c>
      <c r="H912" s="2">
        <v>4</v>
      </c>
      <c r="I912" s="2">
        <v>2</v>
      </c>
      <c r="J912" s="3">
        <f>IF(A912="Upgrade",IF(OR(H912=4,H912=5),VLOOKUP(I912,'Renewal Rates'!$A$22:$B$27,2,FALSE),2.7%),IF(A912="Renewal",100%,0%))</f>
        <v>0</v>
      </c>
      <c r="K912" s="2" t="s">
        <v>22</v>
      </c>
      <c r="L912" s="2">
        <v>386</v>
      </c>
      <c r="M912" s="2" t="s">
        <v>23</v>
      </c>
      <c r="N912" s="2" t="s">
        <v>24</v>
      </c>
      <c r="O912" s="4">
        <v>57658</v>
      </c>
      <c r="P912" s="4">
        <v>10244</v>
      </c>
      <c r="Q912" s="4">
        <v>19604</v>
      </c>
      <c r="R912" s="4">
        <v>77261</v>
      </c>
      <c r="S912" s="5">
        <v>0.4</v>
      </c>
      <c r="T912" s="4">
        <v>30905</v>
      </c>
      <c r="U912" s="4">
        <v>108166</v>
      </c>
      <c r="V912" s="6">
        <f t="shared" si="28"/>
        <v>0</v>
      </c>
      <c r="W912" s="6">
        <f t="shared" si="29"/>
        <v>108166</v>
      </c>
    </row>
    <row r="913" spans="1:23" x14ac:dyDescent="0.3">
      <c r="A913" s="2" t="s">
        <v>21</v>
      </c>
      <c r="B913" s="2">
        <v>4.01</v>
      </c>
      <c r="C913" s="2">
        <v>2000084415</v>
      </c>
      <c r="D913" s="2">
        <v>11.4</v>
      </c>
      <c r="E913" s="2"/>
      <c r="F913" s="2">
        <v>600</v>
      </c>
      <c r="G913" s="2">
        <v>825</v>
      </c>
      <c r="H913" s="2">
        <v>4</v>
      </c>
      <c r="I913" s="2">
        <v>2</v>
      </c>
      <c r="J913" s="3">
        <f>IF(A913="Upgrade",IF(OR(H913=4,H913=5),VLOOKUP(I913,'Renewal Rates'!$A$22:$B$27,2,FALSE),2.7%),IF(A913="Renewal",100%,0%))</f>
        <v>0</v>
      </c>
      <c r="K913" s="2" t="s">
        <v>22</v>
      </c>
      <c r="L913" s="2">
        <v>386</v>
      </c>
      <c r="M913" s="2" t="s">
        <v>23</v>
      </c>
      <c r="N913" s="2" t="s">
        <v>24</v>
      </c>
      <c r="O913" s="4">
        <v>85925</v>
      </c>
      <c r="P913" s="4">
        <v>7523</v>
      </c>
      <c r="Q913" s="4">
        <v>29215</v>
      </c>
      <c r="R913" s="4">
        <v>115140</v>
      </c>
      <c r="S913" s="5">
        <v>0.4</v>
      </c>
      <c r="T913" s="4">
        <v>46056</v>
      </c>
      <c r="U913" s="4">
        <v>161196</v>
      </c>
      <c r="V913" s="6">
        <f t="shared" si="28"/>
        <v>0</v>
      </c>
      <c r="W913" s="6">
        <f t="shared" si="29"/>
        <v>161196</v>
      </c>
    </row>
    <row r="914" spans="1:23" x14ac:dyDescent="0.3">
      <c r="A914" s="2" t="s">
        <v>21</v>
      </c>
      <c r="B914" s="2">
        <v>4.01</v>
      </c>
      <c r="C914" s="2">
        <v>2000076955</v>
      </c>
      <c r="D914" s="2">
        <v>69.5</v>
      </c>
      <c r="E914" s="2"/>
      <c r="F914" s="2">
        <v>450</v>
      </c>
      <c r="G914" s="2">
        <v>825</v>
      </c>
      <c r="H914" s="2">
        <v>4</v>
      </c>
      <c r="I914" s="2">
        <v>2</v>
      </c>
      <c r="J914" s="3">
        <f>IF(A914="Upgrade",IF(OR(H914=4,H914=5),VLOOKUP(I914,'Renewal Rates'!$A$22:$B$27,2,FALSE),2.7%),IF(A914="Renewal",100%,0%))</f>
        <v>0</v>
      </c>
      <c r="K914" s="2" t="s">
        <v>22</v>
      </c>
      <c r="L914" s="2">
        <v>386</v>
      </c>
      <c r="M914" s="2" t="s">
        <v>23</v>
      </c>
      <c r="N914" s="2" t="s">
        <v>24</v>
      </c>
      <c r="O914" s="4">
        <v>334551</v>
      </c>
      <c r="P914" s="4">
        <v>4812</v>
      </c>
      <c r="Q914" s="4">
        <v>113747</v>
      </c>
      <c r="R914" s="4">
        <v>448298</v>
      </c>
      <c r="S914" s="5">
        <v>0.4</v>
      </c>
      <c r="T914" s="4">
        <v>179319</v>
      </c>
      <c r="U914" s="4">
        <v>627617</v>
      </c>
      <c r="V914" s="6">
        <f t="shared" si="28"/>
        <v>0</v>
      </c>
      <c r="W914" s="6">
        <f t="shared" si="29"/>
        <v>627617</v>
      </c>
    </row>
    <row r="915" spans="1:23" x14ac:dyDescent="0.3">
      <c r="A915" s="2" t="s">
        <v>21</v>
      </c>
      <c r="B915" s="2">
        <v>4.01</v>
      </c>
      <c r="C915" s="2">
        <v>2000006873</v>
      </c>
      <c r="D915" s="2">
        <v>24.7</v>
      </c>
      <c r="E915" s="2"/>
      <c r="F915" s="2">
        <v>450</v>
      </c>
      <c r="G915" s="2">
        <v>825</v>
      </c>
      <c r="H915" s="2">
        <v>4</v>
      </c>
      <c r="I915" s="2">
        <v>1</v>
      </c>
      <c r="J915" s="3">
        <f>IF(A915="Upgrade",IF(OR(H915=4,H915=5),VLOOKUP(I915,'Renewal Rates'!$A$22:$B$27,2,FALSE),2.7%),IF(A915="Renewal",100%,0%))</f>
        <v>0</v>
      </c>
      <c r="K915" s="2" t="s">
        <v>22</v>
      </c>
      <c r="L915" s="2">
        <v>386</v>
      </c>
      <c r="M915" s="2" t="s">
        <v>23</v>
      </c>
      <c r="N915" s="2" t="s">
        <v>24</v>
      </c>
      <c r="O915" s="4">
        <v>125595</v>
      </c>
      <c r="P915" s="4">
        <v>5085</v>
      </c>
      <c r="Q915" s="4">
        <v>42702</v>
      </c>
      <c r="R915" s="4">
        <v>168298</v>
      </c>
      <c r="S915" s="5">
        <v>0.4</v>
      </c>
      <c r="T915" s="4">
        <v>67319</v>
      </c>
      <c r="U915" s="4">
        <v>235617</v>
      </c>
      <c r="V915" s="6">
        <f t="shared" si="28"/>
        <v>0</v>
      </c>
      <c r="W915" s="6">
        <f t="shared" si="29"/>
        <v>235617</v>
      </c>
    </row>
    <row r="916" spans="1:23" x14ac:dyDescent="0.3">
      <c r="A916" s="2" t="s">
        <v>21</v>
      </c>
      <c r="B916" s="2">
        <v>4.0090000000000003</v>
      </c>
      <c r="C916" s="2">
        <v>2000652341</v>
      </c>
      <c r="D916" s="2">
        <v>2.5</v>
      </c>
      <c r="E916" s="2"/>
      <c r="F916" s="2">
        <v>300</v>
      </c>
      <c r="G916" s="2">
        <v>825</v>
      </c>
      <c r="H916" s="2"/>
      <c r="I916" s="2"/>
      <c r="J916" s="3">
        <f>IF(A916="Upgrade",IF(OR(H916=4,H916=5),VLOOKUP(I916,'Renewal Rates'!$A$22:$B$27,2,FALSE),2.7%),IF(A916="Renewal",100%,0%))</f>
        <v>2.7000000000000003E-2</v>
      </c>
      <c r="K916" s="2" t="s">
        <v>22</v>
      </c>
      <c r="L916" s="2">
        <v>386</v>
      </c>
      <c r="M916" s="2" t="s">
        <v>23</v>
      </c>
      <c r="N916" s="2" t="s">
        <v>24</v>
      </c>
      <c r="O916" s="4">
        <v>52929</v>
      </c>
      <c r="P916" s="4">
        <v>20961</v>
      </c>
      <c r="Q916" s="4">
        <v>17996</v>
      </c>
      <c r="R916" s="4">
        <v>70924</v>
      </c>
      <c r="S916" s="5">
        <v>0.4</v>
      </c>
      <c r="T916" s="4">
        <v>28370</v>
      </c>
      <c r="U916" s="4">
        <v>99294</v>
      </c>
      <c r="V916" s="6">
        <f t="shared" si="28"/>
        <v>2680.9380000000001</v>
      </c>
      <c r="W916" s="6">
        <f t="shared" si="29"/>
        <v>96613.062000000005</v>
      </c>
    </row>
    <row r="917" spans="1:23" x14ac:dyDescent="0.3">
      <c r="A917" s="2" t="s">
        <v>21</v>
      </c>
      <c r="B917" s="2">
        <v>4.0090000000000003</v>
      </c>
      <c r="C917" s="2">
        <v>2000371630</v>
      </c>
      <c r="D917" s="2">
        <v>31.9</v>
      </c>
      <c r="E917" s="2"/>
      <c r="F917" s="2">
        <v>600</v>
      </c>
      <c r="G917" s="2">
        <v>825</v>
      </c>
      <c r="H917" s="2">
        <v>5</v>
      </c>
      <c r="I917" s="2">
        <v>2</v>
      </c>
      <c r="J917" s="3">
        <f>IF(A917="Upgrade",IF(OR(H917=4,H917=5),VLOOKUP(I917,'Renewal Rates'!$A$22:$B$27,2,FALSE),2.7%),IF(A917="Renewal",100%,0%))</f>
        <v>0</v>
      </c>
      <c r="K917" s="2" t="s">
        <v>22</v>
      </c>
      <c r="L917" s="2">
        <v>386</v>
      </c>
      <c r="M917" s="2" t="s">
        <v>23</v>
      </c>
      <c r="N917" s="2" t="s">
        <v>24</v>
      </c>
      <c r="O917" s="4">
        <v>156062</v>
      </c>
      <c r="P917" s="4">
        <v>4887</v>
      </c>
      <c r="Q917" s="4">
        <v>53061</v>
      </c>
      <c r="R917" s="4">
        <v>209124</v>
      </c>
      <c r="S917" s="5">
        <v>0.4</v>
      </c>
      <c r="T917" s="4">
        <v>83649</v>
      </c>
      <c r="U917" s="4">
        <v>292773</v>
      </c>
      <c r="V917" s="6">
        <f t="shared" si="28"/>
        <v>0</v>
      </c>
      <c r="W917" s="6">
        <f t="shared" si="29"/>
        <v>292773</v>
      </c>
    </row>
    <row r="918" spans="1:23" x14ac:dyDescent="0.3">
      <c r="A918" s="2" t="s">
        <v>21</v>
      </c>
      <c r="B918" s="2">
        <v>4.0090000000000003</v>
      </c>
      <c r="C918" s="2">
        <v>2000535212</v>
      </c>
      <c r="D918" s="2">
        <v>48.8</v>
      </c>
      <c r="E918" s="2"/>
      <c r="F918" s="2">
        <v>300</v>
      </c>
      <c r="G918" s="2">
        <v>825</v>
      </c>
      <c r="H918" s="2"/>
      <c r="I918" s="2"/>
      <c r="J918" s="3">
        <f>IF(A918="Upgrade",IF(OR(H918=4,H918=5),VLOOKUP(I918,'Renewal Rates'!$A$22:$B$27,2,FALSE),2.7%),IF(A918="Renewal",100%,0%))</f>
        <v>2.7000000000000003E-2</v>
      </c>
      <c r="K918" s="2" t="s">
        <v>22</v>
      </c>
      <c r="L918" s="2">
        <v>386</v>
      </c>
      <c r="M918" s="2" t="s">
        <v>23</v>
      </c>
      <c r="N918" s="2" t="s">
        <v>24</v>
      </c>
      <c r="O918" s="4">
        <v>220640</v>
      </c>
      <c r="P918" s="4">
        <v>4521</v>
      </c>
      <c r="Q918" s="4">
        <v>75018</v>
      </c>
      <c r="R918" s="4">
        <v>295657</v>
      </c>
      <c r="S918" s="5">
        <v>0.4</v>
      </c>
      <c r="T918" s="4">
        <v>118263</v>
      </c>
      <c r="U918" s="4">
        <v>413920</v>
      </c>
      <c r="V918" s="6">
        <f t="shared" si="28"/>
        <v>11175.840000000002</v>
      </c>
      <c r="W918" s="6">
        <f t="shared" si="29"/>
        <v>402744.16</v>
      </c>
    </row>
    <row r="919" spans="1:23" x14ac:dyDescent="0.3">
      <c r="A919" s="2" t="s">
        <v>21</v>
      </c>
      <c r="B919" s="2">
        <v>4.0090000000000003</v>
      </c>
      <c r="C919" s="2">
        <v>3000102819</v>
      </c>
      <c r="D919" s="2">
        <v>23</v>
      </c>
      <c r="E919" s="2"/>
      <c r="F919" s="2">
        <v>450</v>
      </c>
      <c r="G919" s="2">
        <v>825</v>
      </c>
      <c r="H919" s="2"/>
      <c r="I919" s="2"/>
      <c r="J919" s="3">
        <f>IF(A919="Upgrade",IF(OR(H919=4,H919=5),VLOOKUP(I919,'Renewal Rates'!$A$22:$B$27,2,FALSE),2.7%),IF(A919="Renewal",100%,0%))</f>
        <v>2.7000000000000003E-2</v>
      </c>
      <c r="K919" s="2" t="s">
        <v>22</v>
      </c>
      <c r="L919" s="2">
        <v>386</v>
      </c>
      <c r="M919" s="2" t="s">
        <v>23</v>
      </c>
      <c r="N919" s="2" t="s">
        <v>24</v>
      </c>
      <c r="O919" s="4">
        <v>122964</v>
      </c>
      <c r="P919" s="4">
        <v>5353</v>
      </c>
      <c r="Q919" s="4">
        <v>41808</v>
      </c>
      <c r="R919" s="4">
        <v>164772</v>
      </c>
      <c r="S919" s="5">
        <v>0.4</v>
      </c>
      <c r="T919" s="4">
        <v>65909</v>
      </c>
      <c r="U919" s="4">
        <v>230680</v>
      </c>
      <c r="V919" s="6">
        <f t="shared" si="28"/>
        <v>6228.3600000000006</v>
      </c>
      <c r="W919" s="6">
        <f t="shared" si="29"/>
        <v>224451.64</v>
      </c>
    </row>
    <row r="920" spans="1:23" x14ac:dyDescent="0.3">
      <c r="A920" s="2" t="s">
        <v>21</v>
      </c>
      <c r="B920" s="2">
        <v>4.0090000000000003</v>
      </c>
      <c r="C920" s="2">
        <v>2000834332</v>
      </c>
      <c r="D920" s="2">
        <v>3.9</v>
      </c>
      <c r="E920" s="2"/>
      <c r="F920" s="2">
        <v>450</v>
      </c>
      <c r="G920" s="2">
        <v>825</v>
      </c>
      <c r="H920" s="2"/>
      <c r="I920" s="2"/>
      <c r="J920" s="3">
        <f>IF(A920="Upgrade",IF(OR(H920=4,H920=5),VLOOKUP(I920,'Renewal Rates'!$A$22:$B$27,2,FALSE),2.7%),IF(A920="Renewal",100%,0%))</f>
        <v>2.7000000000000003E-2</v>
      </c>
      <c r="K920" s="2" t="s">
        <v>22</v>
      </c>
      <c r="L920" s="2">
        <v>386</v>
      </c>
      <c r="M920" s="2" t="s">
        <v>23</v>
      </c>
      <c r="N920" s="2" t="s">
        <v>24</v>
      </c>
      <c r="O920" s="4">
        <v>54965</v>
      </c>
      <c r="P920" s="4">
        <v>14235</v>
      </c>
      <c r="Q920" s="4">
        <v>18688</v>
      </c>
      <c r="R920" s="4">
        <v>73653</v>
      </c>
      <c r="S920" s="5">
        <v>0.4</v>
      </c>
      <c r="T920" s="4">
        <v>29461</v>
      </c>
      <c r="U920" s="4">
        <v>103114</v>
      </c>
      <c r="V920" s="6">
        <f t="shared" si="28"/>
        <v>2784.0780000000004</v>
      </c>
      <c r="W920" s="6">
        <f t="shared" si="29"/>
        <v>100329.92200000001</v>
      </c>
    </row>
    <row r="921" spans="1:23" x14ac:dyDescent="0.3">
      <c r="A921" s="2" t="s">
        <v>21</v>
      </c>
      <c r="B921" s="2">
        <v>4.0090000000000003</v>
      </c>
      <c r="C921" s="2">
        <v>2000857091</v>
      </c>
      <c r="D921" s="2">
        <v>11.4</v>
      </c>
      <c r="E921" s="2"/>
      <c r="F921" s="2">
        <v>300</v>
      </c>
      <c r="G921" s="2">
        <v>825</v>
      </c>
      <c r="H921" s="2"/>
      <c r="I921" s="2"/>
      <c r="J921" s="3">
        <f>IF(A921="Upgrade",IF(OR(H921=4,H921=5),VLOOKUP(I921,'Renewal Rates'!$A$22:$B$27,2,FALSE),2.7%),IF(A921="Renewal",100%,0%))</f>
        <v>2.7000000000000003E-2</v>
      </c>
      <c r="K921" s="2" t="s">
        <v>22</v>
      </c>
      <c r="L921" s="2">
        <v>386</v>
      </c>
      <c r="M921" s="2" t="s">
        <v>23</v>
      </c>
      <c r="N921" s="2" t="s">
        <v>24</v>
      </c>
      <c r="O921" s="4">
        <v>85886</v>
      </c>
      <c r="P921" s="4">
        <v>7536</v>
      </c>
      <c r="Q921" s="4">
        <v>29201</v>
      </c>
      <c r="R921" s="4">
        <v>115087</v>
      </c>
      <c r="S921" s="5">
        <v>0.4</v>
      </c>
      <c r="T921" s="4">
        <v>46035</v>
      </c>
      <c r="U921" s="4">
        <v>161122</v>
      </c>
      <c r="V921" s="6">
        <f t="shared" si="28"/>
        <v>4350.2940000000008</v>
      </c>
      <c r="W921" s="6">
        <f t="shared" si="29"/>
        <v>156771.70600000001</v>
      </c>
    </row>
    <row r="922" spans="1:23" x14ac:dyDescent="0.3">
      <c r="A922" s="2" t="s">
        <v>21</v>
      </c>
      <c r="B922" s="2">
        <v>4.0090000000000003</v>
      </c>
      <c r="C922" s="2">
        <v>2000726036</v>
      </c>
      <c r="D922" s="2">
        <v>62.5</v>
      </c>
      <c r="E922" s="2"/>
      <c r="F922" s="2">
        <v>375</v>
      </c>
      <c r="G922" s="2">
        <v>825</v>
      </c>
      <c r="H922" s="2"/>
      <c r="I922" s="2"/>
      <c r="J922" s="3">
        <f>IF(A922="Upgrade",IF(OR(H922=4,H922=5),VLOOKUP(I922,'Renewal Rates'!$A$22:$B$27,2,FALSE),2.7%),IF(A922="Renewal",100%,0%))</f>
        <v>2.7000000000000003E-2</v>
      </c>
      <c r="K922" s="2" t="s">
        <v>22</v>
      </c>
      <c r="L922" s="2">
        <v>386</v>
      </c>
      <c r="M922" s="2" t="s">
        <v>23</v>
      </c>
      <c r="N922" s="2" t="s">
        <v>24</v>
      </c>
      <c r="O922" s="4">
        <v>304418</v>
      </c>
      <c r="P922" s="4">
        <v>4871</v>
      </c>
      <c r="Q922" s="4">
        <v>103502</v>
      </c>
      <c r="R922" s="4">
        <v>407921</v>
      </c>
      <c r="S922" s="5">
        <v>0.4</v>
      </c>
      <c r="T922" s="4">
        <v>163168</v>
      </c>
      <c r="U922" s="4">
        <v>571089</v>
      </c>
      <c r="V922" s="6">
        <f t="shared" si="28"/>
        <v>15419.403000000002</v>
      </c>
      <c r="W922" s="6">
        <f t="shared" si="29"/>
        <v>555669.59699999995</v>
      </c>
    </row>
    <row r="923" spans="1:23" x14ac:dyDescent="0.3">
      <c r="A923" s="2" t="s">
        <v>21</v>
      </c>
      <c r="B923" s="2">
        <v>4.0090000000000003</v>
      </c>
      <c r="C923" s="2">
        <v>2000815067</v>
      </c>
      <c r="D923" s="2">
        <v>12</v>
      </c>
      <c r="E923" s="2"/>
      <c r="F923" s="2">
        <v>450</v>
      </c>
      <c r="G923" s="2">
        <v>825</v>
      </c>
      <c r="H923" s="2"/>
      <c r="I923" s="2"/>
      <c r="J923" s="3">
        <f>IF(A923="Upgrade",IF(OR(H923=4,H923=5),VLOOKUP(I923,'Renewal Rates'!$A$22:$B$27,2,FALSE),2.7%),IF(A923="Renewal",100%,0%))</f>
        <v>2.7000000000000003E-2</v>
      </c>
      <c r="K923" s="2" t="s">
        <v>22</v>
      </c>
      <c r="L923" s="2">
        <v>386</v>
      </c>
      <c r="M923" s="2" t="s">
        <v>23</v>
      </c>
      <c r="N923" s="2" t="s">
        <v>24</v>
      </c>
      <c r="O923" s="4">
        <v>86881</v>
      </c>
      <c r="P923" s="4">
        <v>7210</v>
      </c>
      <c r="Q923" s="4">
        <v>29539</v>
      </c>
      <c r="R923" s="4">
        <v>116420</v>
      </c>
      <c r="S923" s="5">
        <v>0.4</v>
      </c>
      <c r="T923" s="4">
        <v>46568</v>
      </c>
      <c r="U923" s="4">
        <v>162988</v>
      </c>
      <c r="V923" s="6">
        <f t="shared" si="28"/>
        <v>4400.6760000000004</v>
      </c>
      <c r="W923" s="6">
        <f t="shared" si="29"/>
        <v>158587.32399999999</v>
      </c>
    </row>
    <row r="924" spans="1:23" x14ac:dyDescent="0.3">
      <c r="A924" s="2" t="s">
        <v>21</v>
      </c>
      <c r="B924" s="2">
        <v>4.0090000000000003</v>
      </c>
      <c r="C924" s="2">
        <v>2000845482</v>
      </c>
      <c r="D924" s="2">
        <v>48.3</v>
      </c>
      <c r="E924" s="2"/>
      <c r="F924" s="2">
        <v>450</v>
      </c>
      <c r="G924" s="2">
        <v>825</v>
      </c>
      <c r="H924" s="2"/>
      <c r="I924" s="2"/>
      <c r="J924" s="3">
        <f>IF(A924="Upgrade",IF(OR(H924=4,H924=5),VLOOKUP(I924,'Renewal Rates'!$A$22:$B$27,2,FALSE),2.7%),IF(A924="Renewal",100%,0%))</f>
        <v>2.7000000000000003E-2</v>
      </c>
      <c r="K924" s="2" t="s">
        <v>22</v>
      </c>
      <c r="L924" s="2">
        <v>386</v>
      </c>
      <c r="M924" s="2" t="s">
        <v>23</v>
      </c>
      <c r="N924" s="2" t="s">
        <v>24</v>
      </c>
      <c r="O924" s="4">
        <v>219908</v>
      </c>
      <c r="P924" s="4">
        <v>4551</v>
      </c>
      <c r="Q924" s="4">
        <v>74769</v>
      </c>
      <c r="R924" s="4">
        <v>294676</v>
      </c>
      <c r="S924" s="5">
        <v>0.4</v>
      </c>
      <c r="T924" s="4">
        <v>117870</v>
      </c>
      <c r="U924" s="4">
        <v>412547</v>
      </c>
      <c r="V924" s="6">
        <f t="shared" si="28"/>
        <v>11138.769000000002</v>
      </c>
      <c r="W924" s="6">
        <f t="shared" si="29"/>
        <v>401408.23099999997</v>
      </c>
    </row>
    <row r="925" spans="1:23" x14ac:dyDescent="0.3">
      <c r="A925" s="2" t="s">
        <v>25</v>
      </c>
      <c r="B925" s="2">
        <v>4.0110000000000001</v>
      </c>
      <c r="C925" s="2"/>
      <c r="D925" s="2"/>
      <c r="E925" s="2">
        <v>75.400000000000006</v>
      </c>
      <c r="F925" s="2"/>
      <c r="G925" s="2">
        <v>675</v>
      </c>
      <c r="H925" s="2"/>
      <c r="I925" s="2"/>
      <c r="J925" s="3">
        <f>IF(A925="Upgrade",IF(OR(H925=4,H925=5),VLOOKUP(I925,'Renewal Rates'!$A$22:$B$27,2,FALSE),2.7%),IF(A925="Renewal",100%,0%))</f>
        <v>0</v>
      </c>
      <c r="K925" s="2" t="s">
        <v>22</v>
      </c>
      <c r="L925" s="2">
        <v>386</v>
      </c>
      <c r="M925" s="2" t="s">
        <v>23</v>
      </c>
      <c r="N925" s="2" t="s">
        <v>24</v>
      </c>
      <c r="O925" s="4">
        <v>324670</v>
      </c>
      <c r="P925" s="4">
        <v>4305</v>
      </c>
      <c r="Q925" s="4">
        <v>110388</v>
      </c>
      <c r="R925" s="4">
        <v>435058</v>
      </c>
      <c r="S925" s="5">
        <v>0.4</v>
      </c>
      <c r="T925" s="4">
        <v>174023</v>
      </c>
      <c r="U925" s="4">
        <v>609081</v>
      </c>
      <c r="V925" s="6">
        <f t="shared" si="28"/>
        <v>0</v>
      </c>
      <c r="W925" s="6">
        <f t="shared" si="29"/>
        <v>609081</v>
      </c>
    </row>
    <row r="926" spans="1:23" x14ac:dyDescent="0.3">
      <c r="A926" s="2" t="s">
        <v>25</v>
      </c>
      <c r="B926" s="2">
        <v>4.0119999999999996</v>
      </c>
      <c r="C926" s="2"/>
      <c r="D926" s="2"/>
      <c r="E926" s="2">
        <v>127</v>
      </c>
      <c r="F926" s="2"/>
      <c r="G926" s="2">
        <v>600</v>
      </c>
      <c r="H926" s="2"/>
      <c r="I926" s="2"/>
      <c r="J926" s="3">
        <f>IF(A926="Upgrade",IF(OR(H926=4,H926=5),VLOOKUP(I926,'Renewal Rates'!$A$22:$B$27,2,FALSE),2.7%),IF(A926="Renewal",100%,0%))</f>
        <v>0</v>
      </c>
      <c r="K926" s="2" t="s">
        <v>22</v>
      </c>
      <c r="L926" s="2">
        <v>386</v>
      </c>
      <c r="M926" s="2" t="s">
        <v>23</v>
      </c>
      <c r="N926" s="2" t="s">
        <v>24</v>
      </c>
      <c r="O926" s="4">
        <v>406008</v>
      </c>
      <c r="P926" s="4">
        <v>3197</v>
      </c>
      <c r="Q926" s="4">
        <v>138043</v>
      </c>
      <c r="R926" s="4">
        <v>544050</v>
      </c>
      <c r="S926" s="5">
        <v>0.4</v>
      </c>
      <c r="T926" s="4">
        <v>217620</v>
      </c>
      <c r="U926" s="4">
        <v>761670</v>
      </c>
      <c r="V926" s="6">
        <f t="shared" si="28"/>
        <v>0</v>
      </c>
      <c r="W926" s="6">
        <f t="shared" si="29"/>
        <v>761670</v>
      </c>
    </row>
    <row r="927" spans="1:23" x14ac:dyDescent="0.3">
      <c r="A927" s="2" t="s">
        <v>21</v>
      </c>
      <c r="B927" s="2">
        <v>4.008</v>
      </c>
      <c r="C927" s="2">
        <v>2000113420</v>
      </c>
      <c r="D927" s="2">
        <v>18.899999999999999</v>
      </c>
      <c r="E927" s="2"/>
      <c r="F927" s="2">
        <v>525</v>
      </c>
      <c r="G927" s="2">
        <v>975</v>
      </c>
      <c r="H927" s="2">
        <v>4</v>
      </c>
      <c r="I927" s="2">
        <v>2</v>
      </c>
      <c r="J927" s="3">
        <f>IF(A927="Upgrade",IF(OR(H927=4,H927=5),VLOOKUP(I927,'Renewal Rates'!$A$22:$B$27,2,FALSE),2.7%),IF(A927="Renewal",100%,0%))</f>
        <v>0</v>
      </c>
      <c r="K927" s="2" t="s">
        <v>22</v>
      </c>
      <c r="L927" s="2">
        <v>386</v>
      </c>
      <c r="M927" s="2" t="s">
        <v>23</v>
      </c>
      <c r="N927" s="2" t="s">
        <v>24</v>
      </c>
      <c r="O927" s="4">
        <v>186352</v>
      </c>
      <c r="P927" s="4">
        <v>9884</v>
      </c>
      <c r="Q927" s="4">
        <v>63360</v>
      </c>
      <c r="R927" s="4">
        <v>249712</v>
      </c>
      <c r="S927" s="5">
        <v>0.4</v>
      </c>
      <c r="T927" s="4">
        <v>99885</v>
      </c>
      <c r="U927" s="4">
        <v>349597</v>
      </c>
      <c r="V927" s="6">
        <f t="shared" si="28"/>
        <v>0</v>
      </c>
      <c r="W927" s="6">
        <f t="shared" si="29"/>
        <v>349597</v>
      </c>
    </row>
    <row r="928" spans="1:23" x14ac:dyDescent="0.3">
      <c r="A928" s="2" t="s">
        <v>21</v>
      </c>
      <c r="B928" s="2">
        <v>4.008</v>
      </c>
      <c r="C928" s="2">
        <v>2000062149</v>
      </c>
      <c r="D928" s="2">
        <v>74.400000000000006</v>
      </c>
      <c r="E928" s="2"/>
      <c r="F928" s="2">
        <v>375</v>
      </c>
      <c r="G928" s="2">
        <v>975</v>
      </c>
      <c r="H928" s="2"/>
      <c r="I928" s="2"/>
      <c r="J928" s="3">
        <f>IF(A928="Upgrade",IF(OR(H928=4,H928=5),VLOOKUP(I928,'Renewal Rates'!$A$22:$B$27,2,FALSE),2.7%),IF(A928="Renewal",100%,0%))</f>
        <v>2.7000000000000003E-2</v>
      </c>
      <c r="K928" s="2" t="s">
        <v>22</v>
      </c>
      <c r="L928" s="2">
        <v>386</v>
      </c>
      <c r="M928" s="2" t="s">
        <v>23</v>
      </c>
      <c r="N928" s="2" t="s">
        <v>24</v>
      </c>
      <c r="O928" s="4">
        <v>470625</v>
      </c>
      <c r="P928" s="4">
        <v>6325</v>
      </c>
      <c r="Q928" s="4">
        <v>160013</v>
      </c>
      <c r="R928" s="4">
        <v>630638</v>
      </c>
      <c r="S928" s="5">
        <v>0.4</v>
      </c>
      <c r="T928" s="4">
        <v>252255</v>
      </c>
      <c r="U928" s="4">
        <v>882893</v>
      </c>
      <c r="V928" s="6">
        <f t="shared" si="28"/>
        <v>23838.111000000004</v>
      </c>
      <c r="W928" s="6">
        <f t="shared" si="29"/>
        <v>859054.88899999997</v>
      </c>
    </row>
    <row r="929" spans="1:23" x14ac:dyDescent="0.3">
      <c r="A929" s="2" t="s">
        <v>21</v>
      </c>
      <c r="B929" s="2">
        <v>4.008</v>
      </c>
      <c r="C929" s="2">
        <v>2000965216</v>
      </c>
      <c r="D929" s="2">
        <v>18.399999999999999</v>
      </c>
      <c r="E929" s="2"/>
      <c r="F929" s="2">
        <v>375</v>
      </c>
      <c r="G929" s="2">
        <v>975</v>
      </c>
      <c r="H929" s="2"/>
      <c r="I929" s="2"/>
      <c r="J929" s="3">
        <f>IF(A929="Upgrade",IF(OR(H929=4,H929=5),VLOOKUP(I929,'Renewal Rates'!$A$22:$B$27,2,FALSE),2.7%),IF(A929="Renewal",100%,0%))</f>
        <v>2.7000000000000003E-2</v>
      </c>
      <c r="K929" s="2" t="s">
        <v>22</v>
      </c>
      <c r="L929" s="2">
        <v>386</v>
      </c>
      <c r="M929" s="2" t="s">
        <v>23</v>
      </c>
      <c r="N929" s="2" t="s">
        <v>24</v>
      </c>
      <c r="O929" s="4">
        <v>146509</v>
      </c>
      <c r="P929" s="4">
        <v>7963</v>
      </c>
      <c r="Q929" s="4">
        <v>49813</v>
      </c>
      <c r="R929" s="4">
        <v>196323</v>
      </c>
      <c r="S929" s="5">
        <v>0.4</v>
      </c>
      <c r="T929" s="4">
        <v>78529</v>
      </c>
      <c r="U929" s="4">
        <v>274852</v>
      </c>
      <c r="V929" s="6">
        <f t="shared" si="28"/>
        <v>7421.0040000000008</v>
      </c>
      <c r="W929" s="6">
        <f t="shared" si="29"/>
        <v>267430.99599999998</v>
      </c>
    </row>
    <row r="930" spans="1:23" x14ac:dyDescent="0.3">
      <c r="A930" s="2" t="s">
        <v>21</v>
      </c>
      <c r="B930" s="2">
        <v>4.008</v>
      </c>
      <c r="C930" s="2">
        <v>3000102628</v>
      </c>
      <c r="D930" s="2">
        <v>25.9</v>
      </c>
      <c r="E930" s="2"/>
      <c r="F930" s="2">
        <v>300</v>
      </c>
      <c r="G930" s="2">
        <v>975</v>
      </c>
      <c r="H930" s="2"/>
      <c r="I930" s="2"/>
      <c r="J930" s="3">
        <f>IF(A930="Upgrade",IF(OR(H930=4,H930=5),VLOOKUP(I930,'Renewal Rates'!$A$22:$B$27,2,FALSE),2.7%),IF(A930="Renewal",100%,0%))</f>
        <v>2.7000000000000003E-2</v>
      </c>
      <c r="K930" s="2" t="s">
        <v>22</v>
      </c>
      <c r="L930" s="2">
        <v>386</v>
      </c>
      <c r="M930" s="2" t="s">
        <v>23</v>
      </c>
      <c r="N930" s="2" t="s">
        <v>24</v>
      </c>
      <c r="O930" s="4">
        <v>183092</v>
      </c>
      <c r="P930" s="4">
        <v>7072</v>
      </c>
      <c r="Q930" s="4">
        <v>62251</v>
      </c>
      <c r="R930" s="4">
        <v>245344</v>
      </c>
      <c r="S930" s="5">
        <v>0.4</v>
      </c>
      <c r="T930" s="4">
        <v>98138</v>
      </c>
      <c r="U930" s="4">
        <v>343481</v>
      </c>
      <c r="V930" s="6">
        <f t="shared" si="28"/>
        <v>9273.987000000001</v>
      </c>
      <c r="W930" s="6">
        <f t="shared" si="29"/>
        <v>334207.01299999998</v>
      </c>
    </row>
    <row r="931" spans="1:23" x14ac:dyDescent="0.3">
      <c r="A931" s="2" t="s">
        <v>21</v>
      </c>
      <c r="B931" s="2">
        <v>4.008</v>
      </c>
      <c r="C931" s="2">
        <v>2000847426</v>
      </c>
      <c r="D931" s="2">
        <v>22.5</v>
      </c>
      <c r="E931" s="2"/>
      <c r="F931" s="2">
        <v>375</v>
      </c>
      <c r="G931" s="2">
        <v>975</v>
      </c>
      <c r="H931" s="2">
        <v>4</v>
      </c>
      <c r="I931" s="2">
        <v>4</v>
      </c>
      <c r="J931" s="3">
        <f>IF(A931="Upgrade",IF(OR(H931=4,H931=5),VLOOKUP(I931,'Renewal Rates'!$A$22:$B$27,2,FALSE),2.7%),IF(A931="Renewal",100%,0%))</f>
        <v>0.7</v>
      </c>
      <c r="K931" s="2" t="s">
        <v>22</v>
      </c>
      <c r="L931" s="2">
        <v>386</v>
      </c>
      <c r="M931" s="2" t="s">
        <v>23</v>
      </c>
      <c r="N931" s="2" t="s">
        <v>24</v>
      </c>
      <c r="O931" s="4">
        <v>176747</v>
      </c>
      <c r="P931" s="4">
        <v>7866</v>
      </c>
      <c r="Q931" s="4">
        <v>60094</v>
      </c>
      <c r="R931" s="4">
        <v>236841</v>
      </c>
      <c r="S931" s="5">
        <v>0.4</v>
      </c>
      <c r="T931" s="4">
        <v>94736</v>
      </c>
      <c r="U931" s="4">
        <v>331577</v>
      </c>
      <c r="V931" s="6">
        <f t="shared" si="28"/>
        <v>232103.9</v>
      </c>
      <c r="W931" s="6">
        <f t="shared" si="29"/>
        <v>99473.1</v>
      </c>
    </row>
    <row r="932" spans="1:23" x14ac:dyDescent="0.3">
      <c r="A932" s="2" t="s">
        <v>21</v>
      </c>
      <c r="B932" s="2">
        <v>4.008</v>
      </c>
      <c r="C932" s="2">
        <v>2000014237</v>
      </c>
      <c r="D932" s="2">
        <v>7.1</v>
      </c>
      <c r="E932" s="2"/>
      <c r="F932" s="2">
        <v>375</v>
      </c>
      <c r="G932" s="2">
        <v>975</v>
      </c>
      <c r="H932" s="2">
        <v>4</v>
      </c>
      <c r="I932" s="2">
        <v>2</v>
      </c>
      <c r="J932" s="3">
        <f>IF(A932="Upgrade",IF(OR(H932=4,H932=5),VLOOKUP(I932,'Renewal Rates'!$A$22:$B$27,2,FALSE),2.7%),IF(A932="Renewal",100%,0%))</f>
        <v>0</v>
      </c>
      <c r="K932" s="2" t="s">
        <v>22</v>
      </c>
      <c r="L932" s="2">
        <v>386</v>
      </c>
      <c r="M932" s="2" t="s">
        <v>23</v>
      </c>
      <c r="N932" s="2" t="s">
        <v>24</v>
      </c>
      <c r="O932" s="4">
        <v>80090</v>
      </c>
      <c r="P932" s="4">
        <v>11349</v>
      </c>
      <c r="Q932" s="4">
        <v>27231</v>
      </c>
      <c r="R932" s="4">
        <v>107321</v>
      </c>
      <c r="S932" s="5">
        <v>0.4</v>
      </c>
      <c r="T932" s="4">
        <v>42928</v>
      </c>
      <c r="U932" s="4">
        <v>150249</v>
      </c>
      <c r="V932" s="6">
        <f t="shared" si="28"/>
        <v>0</v>
      </c>
      <c r="W932" s="6">
        <f t="shared" si="29"/>
        <v>150249</v>
      </c>
    </row>
    <row r="933" spans="1:23" x14ac:dyDescent="0.3">
      <c r="A933" s="2" t="s">
        <v>21</v>
      </c>
      <c r="B933" s="2">
        <v>4.008</v>
      </c>
      <c r="C933" s="2">
        <v>2000472526</v>
      </c>
      <c r="D933" s="2">
        <v>16.8</v>
      </c>
      <c r="E933" s="2"/>
      <c r="F933" s="2">
        <v>375</v>
      </c>
      <c r="G933" s="2">
        <v>975</v>
      </c>
      <c r="H933" s="2">
        <v>5</v>
      </c>
      <c r="I933" s="2">
        <v>2</v>
      </c>
      <c r="J933" s="3">
        <f>IF(A933="Upgrade",IF(OR(H933=4,H933=5),VLOOKUP(I933,'Renewal Rates'!$A$22:$B$27,2,FALSE),2.7%),IF(A933="Renewal",100%,0%))</f>
        <v>0</v>
      </c>
      <c r="K933" s="2" t="s">
        <v>22</v>
      </c>
      <c r="L933" s="2">
        <v>386</v>
      </c>
      <c r="M933" s="2" t="s">
        <v>23</v>
      </c>
      <c r="N933" s="2" t="s">
        <v>24</v>
      </c>
      <c r="O933" s="4">
        <v>143498</v>
      </c>
      <c r="P933" s="4">
        <v>8553</v>
      </c>
      <c r="Q933" s="4">
        <v>48789</v>
      </c>
      <c r="R933" s="4">
        <v>192287</v>
      </c>
      <c r="S933" s="5">
        <v>0.4</v>
      </c>
      <c r="T933" s="4">
        <v>76915</v>
      </c>
      <c r="U933" s="4">
        <v>269202</v>
      </c>
      <c r="V933" s="6">
        <f t="shared" si="28"/>
        <v>0</v>
      </c>
      <c r="W933" s="6">
        <f t="shared" si="29"/>
        <v>269202</v>
      </c>
    </row>
    <row r="934" spans="1:23" x14ac:dyDescent="0.3">
      <c r="A934" s="2" t="s">
        <v>21</v>
      </c>
      <c r="B934" s="2">
        <v>4.008</v>
      </c>
      <c r="C934" s="2">
        <v>2000241550</v>
      </c>
      <c r="D934" s="2">
        <v>3.2</v>
      </c>
      <c r="E934" s="2"/>
      <c r="F934" s="2">
        <v>300</v>
      </c>
      <c r="G934" s="2">
        <v>975</v>
      </c>
      <c r="H934" s="2"/>
      <c r="I934" s="2"/>
      <c r="J934" s="3">
        <f>IF(A934="Upgrade",IF(OR(H934=4,H934=5),VLOOKUP(I934,'Renewal Rates'!$A$22:$B$27,2,FALSE),2.7%),IF(A934="Renewal",100%,0%))</f>
        <v>2.7000000000000003E-2</v>
      </c>
      <c r="K934" s="2" t="s">
        <v>22</v>
      </c>
      <c r="L934" s="2">
        <v>386</v>
      </c>
      <c r="M934" s="2" t="s">
        <v>23</v>
      </c>
      <c r="N934" s="2" t="s">
        <v>24</v>
      </c>
      <c r="O934" s="4">
        <v>73024</v>
      </c>
      <c r="P934" s="4">
        <v>22479</v>
      </c>
      <c r="Q934" s="4">
        <v>24828</v>
      </c>
      <c r="R934" s="4">
        <v>97852</v>
      </c>
      <c r="S934" s="5">
        <v>0.4</v>
      </c>
      <c r="T934" s="4">
        <v>39141</v>
      </c>
      <c r="U934" s="4">
        <v>136993</v>
      </c>
      <c r="V934" s="6">
        <f t="shared" si="28"/>
        <v>3698.8110000000006</v>
      </c>
      <c r="W934" s="6">
        <f t="shared" si="29"/>
        <v>133294.18900000001</v>
      </c>
    </row>
    <row r="935" spans="1:23" x14ac:dyDescent="0.3">
      <c r="A935" s="2" t="s">
        <v>21</v>
      </c>
      <c r="B935" s="2">
        <v>4.008</v>
      </c>
      <c r="C935" s="2">
        <v>2000791152</v>
      </c>
      <c r="D935" s="2">
        <v>17</v>
      </c>
      <c r="E935" s="2"/>
      <c r="F935" s="2">
        <v>300</v>
      </c>
      <c r="G935" s="2">
        <v>975</v>
      </c>
      <c r="H935" s="2"/>
      <c r="I935" s="2"/>
      <c r="J935" s="3">
        <f>IF(A935="Upgrade",IF(OR(H935=4,H935=5),VLOOKUP(I935,'Renewal Rates'!$A$22:$B$27,2,FALSE),2.7%),IF(A935="Renewal",100%,0%))</f>
        <v>2.7000000000000003E-2</v>
      </c>
      <c r="K935" s="2" t="s">
        <v>22</v>
      </c>
      <c r="L935" s="2">
        <v>386</v>
      </c>
      <c r="M935" s="2" t="s">
        <v>23</v>
      </c>
      <c r="N935" s="2" t="s">
        <v>24</v>
      </c>
      <c r="O935" s="4">
        <v>143873</v>
      </c>
      <c r="P935" s="4">
        <v>8474</v>
      </c>
      <c r="Q935" s="4">
        <v>48917</v>
      </c>
      <c r="R935" s="4">
        <v>192790</v>
      </c>
      <c r="S935" s="5">
        <v>0.4</v>
      </c>
      <c r="T935" s="4">
        <v>77116</v>
      </c>
      <c r="U935" s="4">
        <v>269905</v>
      </c>
      <c r="V935" s="6">
        <f t="shared" si="28"/>
        <v>7287.4350000000004</v>
      </c>
      <c r="W935" s="6">
        <f t="shared" si="29"/>
        <v>262617.565</v>
      </c>
    </row>
    <row r="936" spans="1:23" x14ac:dyDescent="0.3">
      <c r="A936" s="2" t="s">
        <v>21</v>
      </c>
      <c r="B936" s="2">
        <v>4.008</v>
      </c>
      <c r="C936" s="2">
        <v>2000504830</v>
      </c>
      <c r="D936" s="2">
        <v>15.1</v>
      </c>
      <c r="E936" s="2"/>
      <c r="F936" s="2">
        <v>300</v>
      </c>
      <c r="G936" s="2">
        <v>975</v>
      </c>
      <c r="H936" s="2"/>
      <c r="I936" s="2"/>
      <c r="J936" s="3">
        <f>IF(A936="Upgrade",IF(OR(H936=4,H936=5),VLOOKUP(I936,'Renewal Rates'!$A$22:$B$27,2,FALSE),2.7%),IF(A936="Renewal",100%,0%))</f>
        <v>2.7000000000000003E-2</v>
      </c>
      <c r="K936" s="2" t="s">
        <v>22</v>
      </c>
      <c r="L936" s="2">
        <v>386</v>
      </c>
      <c r="M936" s="2" t="s">
        <v>23</v>
      </c>
      <c r="N936" s="2" t="s">
        <v>24</v>
      </c>
      <c r="O936" s="4">
        <v>140421</v>
      </c>
      <c r="P936" s="4">
        <v>9288</v>
      </c>
      <c r="Q936" s="4">
        <v>47743</v>
      </c>
      <c r="R936" s="4">
        <v>188164</v>
      </c>
      <c r="S936" s="5">
        <v>0.4</v>
      </c>
      <c r="T936" s="4">
        <v>75266</v>
      </c>
      <c r="U936" s="4">
        <v>263430</v>
      </c>
      <c r="V936" s="6">
        <f t="shared" si="28"/>
        <v>7112.6100000000006</v>
      </c>
      <c r="W936" s="6">
        <f t="shared" si="29"/>
        <v>256317.39</v>
      </c>
    </row>
    <row r="937" spans="1:23" x14ac:dyDescent="0.3">
      <c r="A937" s="2" t="s">
        <v>21</v>
      </c>
      <c r="B937" s="2">
        <v>4.008</v>
      </c>
      <c r="C937" s="2">
        <v>2000900356</v>
      </c>
      <c r="D937" s="2">
        <v>33.9</v>
      </c>
      <c r="E937" s="2"/>
      <c r="F937" s="2">
        <v>450</v>
      </c>
      <c r="G937" s="2">
        <v>975</v>
      </c>
      <c r="H937" s="2">
        <v>4</v>
      </c>
      <c r="I937" s="2">
        <v>3</v>
      </c>
      <c r="J937" s="3">
        <f>IF(A937="Upgrade",IF(OR(H937=4,H937=5),VLOOKUP(I937,'Renewal Rates'!$A$22:$B$27,2,FALSE),2.7%),IF(A937="Renewal",100%,0%))</f>
        <v>0.21</v>
      </c>
      <c r="K937" s="2" t="s">
        <v>22</v>
      </c>
      <c r="L937" s="2">
        <v>386</v>
      </c>
      <c r="M937" s="2" t="s">
        <v>23</v>
      </c>
      <c r="N937" s="2" t="s">
        <v>24</v>
      </c>
      <c r="O937" s="4">
        <v>220726</v>
      </c>
      <c r="P937" s="4">
        <v>6502</v>
      </c>
      <c r="Q937" s="4">
        <v>75047</v>
      </c>
      <c r="R937" s="4">
        <v>295773</v>
      </c>
      <c r="S937" s="5">
        <v>0.4</v>
      </c>
      <c r="T937" s="4">
        <v>118309</v>
      </c>
      <c r="U937" s="4">
        <v>414082</v>
      </c>
      <c r="V937" s="6">
        <f t="shared" si="28"/>
        <v>86957.22</v>
      </c>
      <c r="W937" s="6">
        <f t="shared" si="29"/>
        <v>327124.78000000003</v>
      </c>
    </row>
    <row r="938" spans="1:23" x14ac:dyDescent="0.3">
      <c r="A938" s="2" t="s">
        <v>21</v>
      </c>
      <c r="B938" s="2">
        <v>4.0069999999999997</v>
      </c>
      <c r="C938" s="2">
        <v>2000757606</v>
      </c>
      <c r="D938" s="2">
        <v>27.9</v>
      </c>
      <c r="E938" s="2"/>
      <c r="F938" s="2">
        <v>450</v>
      </c>
      <c r="G938" s="2">
        <v>450</v>
      </c>
      <c r="H938" s="2">
        <v>5</v>
      </c>
      <c r="I938" s="2">
        <v>2</v>
      </c>
      <c r="J938" s="3">
        <f>IF(A938="Upgrade",IF(OR(H938=4,H938=5),VLOOKUP(I938,'Renewal Rates'!$A$22:$B$27,2,FALSE),2.7%),IF(A938="Renewal",100%,0%))</f>
        <v>0</v>
      </c>
      <c r="K938" s="2" t="s">
        <v>22</v>
      </c>
      <c r="L938" s="2">
        <v>386</v>
      </c>
      <c r="M938" s="2" t="s">
        <v>23</v>
      </c>
      <c r="N938" s="2" t="s">
        <v>24</v>
      </c>
      <c r="O938" s="4">
        <v>83737</v>
      </c>
      <c r="P938" s="4">
        <v>2998</v>
      </c>
      <c r="Q938" s="4">
        <v>28471</v>
      </c>
      <c r="R938" s="4">
        <v>112207</v>
      </c>
      <c r="S938" s="5">
        <v>0.4</v>
      </c>
      <c r="T938" s="4">
        <v>44883</v>
      </c>
      <c r="U938" s="4">
        <v>157090</v>
      </c>
      <c r="V938" s="6">
        <f t="shared" si="28"/>
        <v>0</v>
      </c>
      <c r="W938" s="6">
        <f t="shared" si="29"/>
        <v>157090</v>
      </c>
    </row>
    <row r="939" spans="1:23" x14ac:dyDescent="0.3">
      <c r="A939" s="2" t="s">
        <v>21</v>
      </c>
      <c r="B939" s="2">
        <v>4.0069999999999997</v>
      </c>
      <c r="C939" s="2">
        <v>2000435226</v>
      </c>
      <c r="D939" s="2">
        <v>11.5</v>
      </c>
      <c r="E939" s="2"/>
      <c r="F939" s="2">
        <v>450</v>
      </c>
      <c r="G939" s="2">
        <v>450</v>
      </c>
      <c r="H939" s="2"/>
      <c r="I939" s="2"/>
      <c r="J939" s="3">
        <f>IF(A939="Upgrade",IF(OR(H939=4,H939=5),VLOOKUP(I939,'Renewal Rates'!$A$22:$B$27,2,FALSE),2.7%),IF(A939="Renewal",100%,0%))</f>
        <v>2.7000000000000003E-2</v>
      </c>
      <c r="K939" s="2" t="s">
        <v>22</v>
      </c>
      <c r="L939" s="2">
        <v>386</v>
      </c>
      <c r="M939" s="2" t="s">
        <v>23</v>
      </c>
      <c r="N939" s="2" t="s">
        <v>24</v>
      </c>
      <c r="O939" s="4">
        <v>52605</v>
      </c>
      <c r="P939" s="4">
        <v>4565</v>
      </c>
      <c r="Q939" s="4">
        <v>17886</v>
      </c>
      <c r="R939" s="4">
        <v>70491</v>
      </c>
      <c r="S939" s="5">
        <v>0.4</v>
      </c>
      <c r="T939" s="4">
        <v>28196</v>
      </c>
      <c r="U939" s="4">
        <v>98687</v>
      </c>
      <c r="V939" s="6">
        <f t="shared" si="28"/>
        <v>2664.5490000000004</v>
      </c>
      <c r="W939" s="6">
        <f t="shared" si="29"/>
        <v>96022.451000000001</v>
      </c>
    </row>
    <row r="940" spans="1:23" x14ac:dyDescent="0.3">
      <c r="A940" s="2" t="s">
        <v>21</v>
      </c>
      <c r="B940" s="2">
        <v>4.0069999999999997</v>
      </c>
      <c r="C940" s="2">
        <v>2000770711</v>
      </c>
      <c r="D940" s="2">
        <v>36.6</v>
      </c>
      <c r="E940" s="2"/>
      <c r="F940" s="2">
        <v>375</v>
      </c>
      <c r="G940" s="2">
        <v>450</v>
      </c>
      <c r="H940" s="2"/>
      <c r="I940" s="2"/>
      <c r="J940" s="3">
        <f>IF(A940="Upgrade",IF(OR(H940=4,H940=5),VLOOKUP(I940,'Renewal Rates'!$A$22:$B$27,2,FALSE),2.7%),IF(A940="Renewal",100%,0%))</f>
        <v>2.7000000000000003E-2</v>
      </c>
      <c r="K940" s="2" t="s">
        <v>22</v>
      </c>
      <c r="L940" s="2">
        <v>386</v>
      </c>
      <c r="M940" s="2" t="s">
        <v>23</v>
      </c>
      <c r="N940" s="2" t="s">
        <v>24</v>
      </c>
      <c r="O940" s="4">
        <v>109353</v>
      </c>
      <c r="P940" s="4">
        <v>2988</v>
      </c>
      <c r="Q940" s="4">
        <v>37180</v>
      </c>
      <c r="R940" s="4">
        <v>146532</v>
      </c>
      <c r="S940" s="5">
        <v>0.4</v>
      </c>
      <c r="T940" s="4">
        <v>58613</v>
      </c>
      <c r="U940" s="4">
        <v>205145</v>
      </c>
      <c r="V940" s="6">
        <f t="shared" si="28"/>
        <v>5538.9150000000009</v>
      </c>
      <c r="W940" s="6">
        <f t="shared" si="29"/>
        <v>199606.08499999999</v>
      </c>
    </row>
    <row r="941" spans="1:23" x14ac:dyDescent="0.3">
      <c r="A941" s="2" t="s">
        <v>21</v>
      </c>
      <c r="B941" s="2">
        <v>4.0069999999999997</v>
      </c>
      <c r="C941" s="2">
        <v>2000092857</v>
      </c>
      <c r="D941" s="2">
        <v>14.5</v>
      </c>
      <c r="E941" s="2"/>
      <c r="F941" s="2">
        <v>375</v>
      </c>
      <c r="G941" s="2">
        <v>450</v>
      </c>
      <c r="H941" s="2"/>
      <c r="I941" s="2"/>
      <c r="J941" s="3">
        <f>IF(A941="Upgrade",IF(OR(H941=4,H941=5),VLOOKUP(I941,'Renewal Rates'!$A$22:$B$27,2,FALSE),2.7%),IF(A941="Renewal",100%,0%))</f>
        <v>2.7000000000000003E-2</v>
      </c>
      <c r="K941" s="2" t="s">
        <v>22</v>
      </c>
      <c r="L941" s="2">
        <v>386</v>
      </c>
      <c r="M941" s="2" t="s">
        <v>23</v>
      </c>
      <c r="N941" s="2" t="s">
        <v>24</v>
      </c>
      <c r="O941" s="4">
        <v>74130</v>
      </c>
      <c r="P941" s="4">
        <v>5129</v>
      </c>
      <c r="Q941" s="4">
        <v>25204</v>
      </c>
      <c r="R941" s="4">
        <v>99335</v>
      </c>
      <c r="S941" s="5">
        <v>0.4</v>
      </c>
      <c r="T941" s="4">
        <v>39734</v>
      </c>
      <c r="U941" s="4">
        <v>139069</v>
      </c>
      <c r="V941" s="6">
        <f t="shared" si="28"/>
        <v>3754.8630000000003</v>
      </c>
      <c r="W941" s="6">
        <f t="shared" si="29"/>
        <v>135314.13699999999</v>
      </c>
    </row>
    <row r="942" spans="1:23" x14ac:dyDescent="0.3">
      <c r="A942" s="2" t="s">
        <v>21</v>
      </c>
      <c r="B942" s="2">
        <v>4.0069999999999997</v>
      </c>
      <c r="C942" s="2">
        <v>2000636435</v>
      </c>
      <c r="D942" s="2">
        <v>42.4</v>
      </c>
      <c r="E942" s="2"/>
      <c r="F942" s="2">
        <v>300</v>
      </c>
      <c r="G942" s="2">
        <v>450</v>
      </c>
      <c r="H942" s="2"/>
      <c r="I942" s="2"/>
      <c r="J942" s="3">
        <f>IF(A942="Upgrade",IF(OR(H942=4,H942=5),VLOOKUP(I942,'Renewal Rates'!$A$22:$B$27,2,FALSE),2.7%),IF(A942="Renewal",100%,0%))</f>
        <v>2.7000000000000003E-2</v>
      </c>
      <c r="K942" s="2" t="s">
        <v>22</v>
      </c>
      <c r="L942" s="2">
        <v>386</v>
      </c>
      <c r="M942" s="2" t="s">
        <v>23</v>
      </c>
      <c r="N942" s="2" t="s">
        <v>24</v>
      </c>
      <c r="O942" s="4">
        <v>113458</v>
      </c>
      <c r="P942" s="4">
        <v>2678</v>
      </c>
      <c r="Q942" s="4">
        <v>38576</v>
      </c>
      <c r="R942" s="4">
        <v>152034</v>
      </c>
      <c r="S942" s="5">
        <v>0.4</v>
      </c>
      <c r="T942" s="4">
        <v>60813</v>
      </c>
      <c r="U942" s="4">
        <v>212847</v>
      </c>
      <c r="V942" s="6">
        <f t="shared" si="28"/>
        <v>5746.8690000000006</v>
      </c>
      <c r="W942" s="6">
        <f t="shared" si="29"/>
        <v>207100.13099999999</v>
      </c>
    </row>
    <row r="943" spans="1:23" x14ac:dyDescent="0.3">
      <c r="A943" s="2" t="s">
        <v>25</v>
      </c>
      <c r="B943" s="2">
        <v>4.0019999999999998</v>
      </c>
      <c r="C943" s="2"/>
      <c r="D943" s="2"/>
      <c r="E943" s="2">
        <v>331.3</v>
      </c>
      <c r="F943" s="2"/>
      <c r="G943" s="2">
        <v>825</v>
      </c>
      <c r="H943" s="2"/>
      <c r="I943" s="2"/>
      <c r="J943" s="3">
        <f>IF(A943="Upgrade",IF(OR(H943=4,H943=5),VLOOKUP(I943,'Renewal Rates'!$A$22:$B$27,2,FALSE),2.7%),IF(A943="Renewal",100%,0%))</f>
        <v>0</v>
      </c>
      <c r="K943" s="2" t="s">
        <v>22</v>
      </c>
      <c r="L943" s="2">
        <v>386</v>
      </c>
      <c r="M943" s="2" t="s">
        <v>23</v>
      </c>
      <c r="N943" s="2" t="s">
        <v>24</v>
      </c>
      <c r="O943" s="4">
        <v>1436783</v>
      </c>
      <c r="P943" s="4">
        <v>4337</v>
      </c>
      <c r="Q943" s="4">
        <v>488506</v>
      </c>
      <c r="R943" s="4">
        <v>1925289</v>
      </c>
      <c r="S943" s="5">
        <v>0.4</v>
      </c>
      <c r="T943" s="4">
        <v>770116</v>
      </c>
      <c r="U943" s="4">
        <v>2695405</v>
      </c>
      <c r="V943" s="6">
        <f t="shared" si="28"/>
        <v>0</v>
      </c>
      <c r="W943" s="6">
        <f t="shared" si="29"/>
        <v>2695405</v>
      </c>
    </row>
    <row r="944" spans="1:23" x14ac:dyDescent="0.3">
      <c r="A944" s="2" t="s">
        <v>21</v>
      </c>
      <c r="B944" s="2">
        <v>4.0140000000000002</v>
      </c>
      <c r="C944" s="2">
        <v>2000246659</v>
      </c>
      <c r="D944" s="2">
        <v>24.5</v>
      </c>
      <c r="E944" s="2"/>
      <c r="F944" s="2">
        <v>1200</v>
      </c>
      <c r="G944" s="2">
        <v>1275</v>
      </c>
      <c r="H944" s="2"/>
      <c r="I944" s="2"/>
      <c r="J944" s="3">
        <f>IF(A944="Upgrade",IF(OR(H944=4,H944=5),VLOOKUP(I944,'Renewal Rates'!$A$22:$B$27,2,FALSE),2.7%),IF(A944="Renewal",100%,0%))</f>
        <v>2.7000000000000003E-2</v>
      </c>
      <c r="K944" s="2" t="s">
        <v>22</v>
      </c>
      <c r="L944" s="2">
        <v>386</v>
      </c>
      <c r="M944" s="2" t="s">
        <v>23</v>
      </c>
      <c r="N944" s="2" t="s">
        <v>24</v>
      </c>
      <c r="O944" s="4">
        <v>178912</v>
      </c>
      <c r="P944" s="4">
        <v>7298</v>
      </c>
      <c r="Q944" s="4">
        <v>60830</v>
      </c>
      <c r="R944" s="4">
        <v>239742</v>
      </c>
      <c r="S944" s="5">
        <v>0.4</v>
      </c>
      <c r="T944" s="4">
        <v>95897</v>
      </c>
      <c r="U944" s="4">
        <v>335639</v>
      </c>
      <c r="V944" s="6">
        <f t="shared" si="28"/>
        <v>9062.2530000000006</v>
      </c>
      <c r="W944" s="6">
        <f t="shared" si="29"/>
        <v>326576.74699999997</v>
      </c>
    </row>
    <row r="945" spans="1:23" x14ac:dyDescent="0.3">
      <c r="A945" s="2" t="s">
        <v>21</v>
      </c>
      <c r="B945" s="2">
        <v>4.0140000000000002</v>
      </c>
      <c r="C945" s="2">
        <v>2000028767</v>
      </c>
      <c r="D945" s="2">
        <v>26.3</v>
      </c>
      <c r="E945" s="2"/>
      <c r="F945" s="2">
        <v>1200</v>
      </c>
      <c r="G945" s="2">
        <v>1275</v>
      </c>
      <c r="H945" s="2"/>
      <c r="I945" s="2"/>
      <c r="J945" s="3">
        <f>IF(A945="Upgrade",IF(OR(H945=4,H945=5),VLOOKUP(I945,'Renewal Rates'!$A$22:$B$27,2,FALSE),2.7%),IF(A945="Renewal",100%,0%))</f>
        <v>2.7000000000000003E-2</v>
      </c>
      <c r="K945" s="2" t="s">
        <v>22</v>
      </c>
      <c r="L945" s="2">
        <v>386</v>
      </c>
      <c r="M945" s="2" t="s">
        <v>23</v>
      </c>
      <c r="N945" s="2" t="s">
        <v>24</v>
      </c>
      <c r="O945" s="4">
        <v>183334</v>
      </c>
      <c r="P945" s="4">
        <v>6981</v>
      </c>
      <c r="Q945" s="4">
        <v>62334</v>
      </c>
      <c r="R945" s="4">
        <v>245668</v>
      </c>
      <c r="S945" s="5">
        <v>0.4</v>
      </c>
      <c r="T945" s="4">
        <v>98267</v>
      </c>
      <c r="U945" s="4">
        <v>343935</v>
      </c>
      <c r="V945" s="6">
        <f t="shared" si="28"/>
        <v>9286.2450000000008</v>
      </c>
      <c r="W945" s="6">
        <f t="shared" si="29"/>
        <v>334648.755</v>
      </c>
    </row>
    <row r="946" spans="1:23" x14ac:dyDescent="0.3">
      <c r="A946" s="2" t="s">
        <v>21</v>
      </c>
      <c r="B946" s="2">
        <v>4.0140000000000002</v>
      </c>
      <c r="C946" s="2">
        <v>2000849516</v>
      </c>
      <c r="D946" s="2">
        <v>23.9</v>
      </c>
      <c r="E946" s="2"/>
      <c r="F946" s="2">
        <v>1200</v>
      </c>
      <c r="G946" s="2">
        <v>1275</v>
      </c>
      <c r="H946" s="2"/>
      <c r="I946" s="2"/>
      <c r="J946" s="3">
        <f>IF(A946="Upgrade",IF(OR(H946=4,H946=5),VLOOKUP(I946,'Renewal Rates'!$A$22:$B$27,2,FALSE),2.7%),IF(A946="Renewal",100%,0%))</f>
        <v>2.7000000000000003E-2</v>
      </c>
      <c r="K946" s="2" t="s">
        <v>22</v>
      </c>
      <c r="L946" s="2">
        <v>386</v>
      </c>
      <c r="M946" s="2" t="s">
        <v>23</v>
      </c>
      <c r="N946" s="2" t="s">
        <v>24</v>
      </c>
      <c r="O946" s="4">
        <v>177453</v>
      </c>
      <c r="P946" s="4">
        <v>7413</v>
      </c>
      <c r="Q946" s="4">
        <v>60334</v>
      </c>
      <c r="R946" s="4">
        <v>237787</v>
      </c>
      <c r="S946" s="5">
        <v>0.4</v>
      </c>
      <c r="T946" s="4">
        <v>95115</v>
      </c>
      <c r="U946" s="4">
        <v>332902</v>
      </c>
      <c r="V946" s="6">
        <f t="shared" si="28"/>
        <v>8988.3540000000012</v>
      </c>
      <c r="W946" s="6">
        <f t="shared" si="29"/>
        <v>323913.64600000001</v>
      </c>
    </row>
    <row r="947" spans="1:23" x14ac:dyDescent="0.3">
      <c r="A947" s="2" t="s">
        <v>21</v>
      </c>
      <c r="B947" s="2">
        <v>4.0140000000000002</v>
      </c>
      <c r="C947" s="2">
        <v>2000046263</v>
      </c>
      <c r="D947" s="2">
        <v>6.9</v>
      </c>
      <c r="E947" s="2"/>
      <c r="F947" s="2">
        <v>1200</v>
      </c>
      <c r="G947" s="2">
        <v>1275</v>
      </c>
      <c r="H947" s="2"/>
      <c r="I947" s="2"/>
      <c r="J947" s="3">
        <f>IF(A947="Upgrade",IF(OR(H947=4,H947=5),VLOOKUP(I947,'Renewal Rates'!$A$22:$B$27,2,FALSE),2.7%),IF(A947="Renewal",100%,0%))</f>
        <v>2.7000000000000003E-2</v>
      </c>
      <c r="K947" s="2" t="s">
        <v>22</v>
      </c>
      <c r="L947" s="2">
        <v>386</v>
      </c>
      <c r="M947" s="2" t="s">
        <v>23</v>
      </c>
      <c r="N947" s="2" t="s">
        <v>24</v>
      </c>
      <c r="O947" s="4">
        <v>66217</v>
      </c>
      <c r="P947" s="4">
        <v>9630</v>
      </c>
      <c r="Q947" s="4">
        <v>22514</v>
      </c>
      <c r="R947" s="4">
        <v>88731</v>
      </c>
      <c r="S947" s="5">
        <v>0.4</v>
      </c>
      <c r="T947" s="4">
        <v>35493</v>
      </c>
      <c r="U947" s="4">
        <v>124224</v>
      </c>
      <c r="V947" s="6">
        <f t="shared" si="28"/>
        <v>3354.0480000000002</v>
      </c>
      <c r="W947" s="6">
        <f t="shared" si="29"/>
        <v>120869.952</v>
      </c>
    </row>
    <row r="948" spans="1:23" x14ac:dyDescent="0.3">
      <c r="A948" s="2" t="s">
        <v>21</v>
      </c>
      <c r="B948" s="2">
        <v>4.0060000000000002</v>
      </c>
      <c r="C948" s="2">
        <v>2000965924</v>
      </c>
      <c r="D948" s="2">
        <v>6.1</v>
      </c>
      <c r="E948" s="2"/>
      <c r="F948" s="2">
        <v>600</v>
      </c>
      <c r="G948" s="2">
        <v>675</v>
      </c>
      <c r="H948" s="2">
        <v>4</v>
      </c>
      <c r="I948" s="2">
        <v>1</v>
      </c>
      <c r="J948" s="3">
        <f>IF(A948="Upgrade",IF(OR(H948=4,H948=5),VLOOKUP(I948,'Renewal Rates'!$A$22:$B$27,2,FALSE),2.7%),IF(A948="Renewal",100%,0%))</f>
        <v>0</v>
      </c>
      <c r="K948" s="2" t="s">
        <v>22</v>
      </c>
      <c r="L948" s="2">
        <v>386</v>
      </c>
      <c r="M948" s="2" t="s">
        <v>23</v>
      </c>
      <c r="N948" s="2" t="s">
        <v>24</v>
      </c>
      <c r="O948" s="4">
        <v>57292</v>
      </c>
      <c r="P948" s="4">
        <v>9417</v>
      </c>
      <c r="Q948" s="4">
        <v>19479</v>
      </c>
      <c r="R948" s="4">
        <v>76772</v>
      </c>
      <c r="S948" s="5">
        <v>0.4</v>
      </c>
      <c r="T948" s="4">
        <v>30709</v>
      </c>
      <c r="U948" s="4">
        <v>107480</v>
      </c>
      <c r="V948" s="6">
        <f t="shared" si="28"/>
        <v>0</v>
      </c>
      <c r="W948" s="6">
        <f t="shared" si="29"/>
        <v>107480</v>
      </c>
    </row>
    <row r="949" spans="1:23" x14ac:dyDescent="0.3">
      <c r="A949" s="2" t="s">
        <v>21</v>
      </c>
      <c r="B949" s="2">
        <v>4.0060000000000002</v>
      </c>
      <c r="C949" s="2">
        <v>2000834679</v>
      </c>
      <c r="D949" s="2">
        <v>12.1</v>
      </c>
      <c r="E949" s="2"/>
      <c r="F949" s="2">
        <v>600</v>
      </c>
      <c r="G949" s="2">
        <v>675</v>
      </c>
      <c r="H949" s="2"/>
      <c r="I949" s="2"/>
      <c r="J949" s="3">
        <f>IF(A949="Upgrade",IF(OR(H949=4,H949=5),VLOOKUP(I949,'Renewal Rates'!$A$22:$B$27,2,FALSE),2.7%),IF(A949="Renewal",100%,0%))</f>
        <v>2.7000000000000003E-2</v>
      </c>
      <c r="K949" s="2" t="s">
        <v>22</v>
      </c>
      <c r="L949" s="2">
        <v>386</v>
      </c>
      <c r="M949" s="2" t="s">
        <v>23</v>
      </c>
      <c r="N949" s="2" t="s">
        <v>24</v>
      </c>
      <c r="O949" s="4">
        <v>83945</v>
      </c>
      <c r="P949" s="4">
        <v>6929</v>
      </c>
      <c r="Q949" s="4">
        <v>28541</v>
      </c>
      <c r="R949" s="4">
        <v>112487</v>
      </c>
      <c r="S949" s="5">
        <v>0.4</v>
      </c>
      <c r="T949" s="4">
        <v>44995</v>
      </c>
      <c r="U949" s="4">
        <v>157481</v>
      </c>
      <c r="V949" s="6">
        <f t="shared" si="28"/>
        <v>4251.9870000000001</v>
      </c>
      <c r="W949" s="6">
        <f t="shared" si="29"/>
        <v>153229.01300000001</v>
      </c>
    </row>
    <row r="950" spans="1:23" x14ac:dyDescent="0.3">
      <c r="A950" s="2" t="s">
        <v>21</v>
      </c>
      <c r="B950" s="2">
        <v>4.0060000000000002</v>
      </c>
      <c r="C950" s="2">
        <v>2000732051</v>
      </c>
      <c r="D950" s="2">
        <v>6.1</v>
      </c>
      <c r="E950" s="2"/>
      <c r="F950" s="2">
        <v>600</v>
      </c>
      <c r="G950" s="2">
        <v>675</v>
      </c>
      <c r="H950" s="2"/>
      <c r="I950" s="2"/>
      <c r="J950" s="3">
        <f>IF(A950="Upgrade",IF(OR(H950=4,H950=5),VLOOKUP(I950,'Renewal Rates'!$A$22:$B$27,2,FALSE),2.7%),IF(A950="Renewal",100%,0%))</f>
        <v>2.7000000000000003E-2</v>
      </c>
      <c r="K950" s="2" t="s">
        <v>22</v>
      </c>
      <c r="L950" s="2">
        <v>386</v>
      </c>
      <c r="M950" s="2" t="s">
        <v>23</v>
      </c>
      <c r="N950" s="2" t="s">
        <v>24</v>
      </c>
      <c r="O950" s="4">
        <v>57260</v>
      </c>
      <c r="P950" s="4">
        <v>9453</v>
      </c>
      <c r="Q950" s="4">
        <v>19469</v>
      </c>
      <c r="R950" s="4">
        <v>76729</v>
      </c>
      <c r="S950" s="5">
        <v>0.4</v>
      </c>
      <c r="T950" s="4">
        <v>30692</v>
      </c>
      <c r="U950" s="4">
        <v>107421</v>
      </c>
      <c r="V950" s="6">
        <f t="shared" si="28"/>
        <v>2900.3670000000002</v>
      </c>
      <c r="W950" s="6">
        <f t="shared" si="29"/>
        <v>104520.633</v>
      </c>
    </row>
    <row r="951" spans="1:23" x14ac:dyDescent="0.3">
      <c r="A951" s="2" t="s">
        <v>21</v>
      </c>
      <c r="B951" s="2">
        <v>4.0060000000000002</v>
      </c>
      <c r="C951" s="2">
        <v>2000663711</v>
      </c>
      <c r="D951" s="2">
        <v>31.5</v>
      </c>
      <c r="E951" s="2"/>
      <c r="F951" s="2">
        <v>600</v>
      </c>
      <c r="G951" s="2">
        <v>675</v>
      </c>
      <c r="H951" s="2"/>
      <c r="I951" s="2"/>
      <c r="J951" s="3">
        <f>IF(A951="Upgrade",IF(OR(H951=4,H951=5),VLOOKUP(I951,'Renewal Rates'!$A$22:$B$27,2,FALSE),2.7%),IF(A951="Renewal",100%,0%))</f>
        <v>2.7000000000000003E-2</v>
      </c>
      <c r="K951" s="2" t="s">
        <v>22</v>
      </c>
      <c r="L951" s="2">
        <v>386</v>
      </c>
      <c r="M951" s="2" t="s">
        <v>23</v>
      </c>
      <c r="N951" s="2" t="s">
        <v>24</v>
      </c>
      <c r="O951" s="4">
        <v>146028</v>
      </c>
      <c r="P951" s="4">
        <v>4634</v>
      </c>
      <c r="Q951" s="4">
        <v>49650</v>
      </c>
      <c r="R951" s="4">
        <v>195678</v>
      </c>
      <c r="S951" s="5">
        <v>0.4</v>
      </c>
      <c r="T951" s="4">
        <v>78271</v>
      </c>
      <c r="U951" s="4">
        <v>273949</v>
      </c>
      <c r="V951" s="6">
        <f t="shared" si="28"/>
        <v>7396.6230000000005</v>
      </c>
      <c r="W951" s="6">
        <f t="shared" si="29"/>
        <v>266552.37699999998</v>
      </c>
    </row>
    <row r="952" spans="1:23" x14ac:dyDescent="0.3">
      <c r="A952" s="2" t="s">
        <v>21</v>
      </c>
      <c r="B952" s="2">
        <v>4.0060000000000002</v>
      </c>
      <c r="C952" s="2">
        <v>2000336007</v>
      </c>
      <c r="D952" s="2">
        <v>3.2</v>
      </c>
      <c r="E952" s="2"/>
      <c r="F952" s="2">
        <v>600</v>
      </c>
      <c r="G952" s="2">
        <v>675</v>
      </c>
      <c r="H952" s="2"/>
      <c r="I952" s="2"/>
      <c r="J952" s="3">
        <f>IF(A952="Upgrade",IF(OR(H952=4,H952=5),VLOOKUP(I952,'Renewal Rates'!$A$22:$B$27,2,FALSE),2.7%),IF(A952="Renewal",100%,0%))</f>
        <v>2.7000000000000003E-2</v>
      </c>
      <c r="K952" s="2" t="s">
        <v>22</v>
      </c>
      <c r="L952" s="2">
        <v>386</v>
      </c>
      <c r="M952" s="2" t="s">
        <v>23</v>
      </c>
      <c r="N952" s="2" t="s">
        <v>24</v>
      </c>
      <c r="O952" s="4">
        <v>53850</v>
      </c>
      <c r="P952" s="4">
        <v>16793</v>
      </c>
      <c r="Q952" s="4">
        <v>18309</v>
      </c>
      <c r="R952" s="4">
        <v>72159</v>
      </c>
      <c r="S952" s="5">
        <v>0.4</v>
      </c>
      <c r="T952" s="4">
        <v>28863</v>
      </c>
      <c r="U952" s="4">
        <v>101022</v>
      </c>
      <c r="V952" s="6">
        <f t="shared" si="28"/>
        <v>2727.5940000000005</v>
      </c>
      <c r="W952" s="6">
        <f t="shared" si="29"/>
        <v>98294.406000000003</v>
      </c>
    </row>
    <row r="953" spans="1:23" x14ac:dyDescent="0.3">
      <c r="A953" s="2" t="s">
        <v>21</v>
      </c>
      <c r="B953" s="2">
        <v>4.0060000000000002</v>
      </c>
      <c r="C953" s="2">
        <v>3000186007</v>
      </c>
      <c r="D953" s="2">
        <v>29.6</v>
      </c>
      <c r="E953" s="2"/>
      <c r="F953" s="2">
        <v>600</v>
      </c>
      <c r="G953" s="2">
        <v>675</v>
      </c>
      <c r="H953" s="2"/>
      <c r="I953" s="2"/>
      <c r="J953" s="3">
        <f>IF(A953="Upgrade",IF(OR(H953=4,H953=5),VLOOKUP(I953,'Renewal Rates'!$A$22:$B$27,2,FALSE),2.7%),IF(A953="Renewal",100%,0%))</f>
        <v>2.7000000000000003E-2</v>
      </c>
      <c r="K953" s="2" t="s">
        <v>22</v>
      </c>
      <c r="L953" s="2">
        <v>386</v>
      </c>
      <c r="M953" s="2" t="s">
        <v>23</v>
      </c>
      <c r="N953" s="2" t="s">
        <v>24</v>
      </c>
      <c r="O953" s="4">
        <v>124294</v>
      </c>
      <c r="P953" s="4">
        <v>4200</v>
      </c>
      <c r="Q953" s="4">
        <v>42260</v>
      </c>
      <c r="R953" s="4">
        <v>166553</v>
      </c>
      <c r="S953" s="5">
        <v>0.4</v>
      </c>
      <c r="T953" s="4">
        <v>66621</v>
      </c>
      <c r="U953" s="4">
        <v>233175</v>
      </c>
      <c r="V953" s="6">
        <f t="shared" si="28"/>
        <v>6295.7250000000004</v>
      </c>
      <c r="W953" s="6">
        <f t="shared" si="29"/>
        <v>226879.27499999999</v>
      </c>
    </row>
    <row r="954" spans="1:23" x14ac:dyDescent="0.3">
      <c r="A954" s="2" t="s">
        <v>21</v>
      </c>
      <c r="B954" s="2">
        <v>4.0060000000000002</v>
      </c>
      <c r="C954" s="2">
        <v>2000855011</v>
      </c>
      <c r="D954" s="2">
        <v>21.5</v>
      </c>
      <c r="E954" s="2"/>
      <c r="F954" s="2">
        <v>600</v>
      </c>
      <c r="G954" s="2">
        <v>675</v>
      </c>
      <c r="H954" s="2"/>
      <c r="I954" s="2"/>
      <c r="J954" s="3">
        <f>IF(A954="Upgrade",IF(OR(H954=4,H954=5),VLOOKUP(I954,'Renewal Rates'!$A$22:$B$27,2,FALSE),2.7%),IF(A954="Renewal",100%,0%))</f>
        <v>2.7000000000000003E-2</v>
      </c>
      <c r="K954" s="2" t="s">
        <v>22</v>
      </c>
      <c r="L954" s="2">
        <v>386</v>
      </c>
      <c r="M954" s="2" t="s">
        <v>23</v>
      </c>
      <c r="N954" s="2" t="s">
        <v>24</v>
      </c>
      <c r="O954" s="4">
        <v>114569</v>
      </c>
      <c r="P954" s="4">
        <v>5338</v>
      </c>
      <c r="Q954" s="4">
        <v>38953</v>
      </c>
      <c r="R954" s="4">
        <v>153522</v>
      </c>
      <c r="S954" s="5">
        <v>0.4</v>
      </c>
      <c r="T954" s="4">
        <v>61409</v>
      </c>
      <c r="U954" s="4">
        <v>214931</v>
      </c>
      <c r="V954" s="6">
        <f t="shared" si="28"/>
        <v>5803.1370000000006</v>
      </c>
      <c r="W954" s="6">
        <f t="shared" si="29"/>
        <v>209127.86300000001</v>
      </c>
    </row>
    <row r="955" spans="1:23" x14ac:dyDescent="0.3">
      <c r="A955" s="2" t="s">
        <v>21</v>
      </c>
      <c r="B955" s="2">
        <v>4.0060000000000002</v>
      </c>
      <c r="C955" s="2">
        <v>2000319540</v>
      </c>
      <c r="D955" s="2">
        <v>8.3000000000000007</v>
      </c>
      <c r="E955" s="2"/>
      <c r="F955" s="2">
        <v>225</v>
      </c>
      <c r="G955" s="2">
        <v>675</v>
      </c>
      <c r="H955" s="2"/>
      <c r="I955" s="2"/>
      <c r="J955" s="3">
        <f>IF(A955="Upgrade",IF(OR(H955=4,H955=5),VLOOKUP(I955,'Renewal Rates'!$A$22:$B$27,2,FALSE),2.7%),IF(A955="Renewal",100%,0%))</f>
        <v>2.7000000000000003E-2</v>
      </c>
      <c r="K955" s="2" t="s">
        <v>22</v>
      </c>
      <c r="L955" s="2">
        <v>386</v>
      </c>
      <c r="M955" s="2" t="s">
        <v>23</v>
      </c>
      <c r="N955" s="2" t="s">
        <v>24</v>
      </c>
      <c r="O955" s="4">
        <v>59977</v>
      </c>
      <c r="P955" s="4">
        <v>7202</v>
      </c>
      <c r="Q955" s="4">
        <v>20392</v>
      </c>
      <c r="R955" s="4">
        <v>80370</v>
      </c>
      <c r="S955" s="5">
        <v>0.4</v>
      </c>
      <c r="T955" s="4">
        <v>32148</v>
      </c>
      <c r="U955" s="4">
        <v>112518</v>
      </c>
      <c r="V955" s="6">
        <f t="shared" si="28"/>
        <v>3037.9860000000003</v>
      </c>
      <c r="W955" s="6">
        <f t="shared" si="29"/>
        <v>109480.014</v>
      </c>
    </row>
    <row r="956" spans="1:23" x14ac:dyDescent="0.3">
      <c r="A956" s="2" t="s">
        <v>21</v>
      </c>
      <c r="B956" s="2">
        <v>4.0049999999999999</v>
      </c>
      <c r="C956" s="2">
        <v>2000751335</v>
      </c>
      <c r="D956" s="2">
        <v>3.9</v>
      </c>
      <c r="E956" s="2"/>
      <c r="F956" s="2">
        <v>675</v>
      </c>
      <c r="G956" s="2">
        <v>975</v>
      </c>
      <c r="H956" s="2">
        <v>4</v>
      </c>
      <c r="I956" s="2">
        <v>1</v>
      </c>
      <c r="J956" s="3">
        <f>IF(A956="Upgrade",IF(OR(H956=4,H956=5),VLOOKUP(I956,'Renewal Rates'!$A$22:$B$27,2,FALSE),2.7%),IF(A956="Renewal",100%,0%))</f>
        <v>0</v>
      </c>
      <c r="K956" s="2" t="s">
        <v>22</v>
      </c>
      <c r="L956" s="2">
        <v>386</v>
      </c>
      <c r="M956" s="2" t="s">
        <v>23</v>
      </c>
      <c r="N956" s="2" t="s">
        <v>24</v>
      </c>
      <c r="O956" s="4">
        <v>74157</v>
      </c>
      <c r="P956" s="4">
        <v>19216</v>
      </c>
      <c r="Q956" s="4">
        <v>25213</v>
      </c>
      <c r="R956" s="4">
        <v>99370</v>
      </c>
      <c r="S956" s="5">
        <v>0.4</v>
      </c>
      <c r="T956" s="4">
        <v>39748</v>
      </c>
      <c r="U956" s="4">
        <v>139118</v>
      </c>
      <c r="V956" s="6">
        <f t="shared" si="28"/>
        <v>0</v>
      </c>
      <c r="W956" s="6">
        <f t="shared" si="29"/>
        <v>139118</v>
      </c>
    </row>
    <row r="957" spans="1:23" x14ac:dyDescent="0.3">
      <c r="A957" s="2" t="s">
        <v>21</v>
      </c>
      <c r="B957" s="2">
        <v>4.0049999999999999</v>
      </c>
      <c r="C957" s="2">
        <v>3000153260</v>
      </c>
      <c r="D957" s="2">
        <v>3.3</v>
      </c>
      <c r="E957" s="2"/>
      <c r="F957" s="2">
        <v>675</v>
      </c>
      <c r="G957" s="2">
        <v>975</v>
      </c>
      <c r="H957" s="2">
        <v>4</v>
      </c>
      <c r="I957" s="2" t="s">
        <v>27</v>
      </c>
      <c r="J957" s="3">
        <f>IF(A957="Upgrade",IF(OR(H957=4,H957=5),VLOOKUP(I957,'Renewal Rates'!$A$22:$B$27,2,FALSE),2.7%),IF(A957="Renewal",100%,0%))</f>
        <v>0.116578</v>
      </c>
      <c r="K957" s="2" t="s">
        <v>22</v>
      </c>
      <c r="L957" s="2">
        <v>386</v>
      </c>
      <c r="M957" s="2" t="s">
        <v>23</v>
      </c>
      <c r="N957" s="2" t="s">
        <v>24</v>
      </c>
      <c r="O957" s="4">
        <v>73176</v>
      </c>
      <c r="P957" s="4">
        <v>21971</v>
      </c>
      <c r="Q957" s="4">
        <v>24880</v>
      </c>
      <c r="R957" s="4">
        <v>98056</v>
      </c>
      <c r="S957" s="5">
        <v>0.4</v>
      </c>
      <c r="T957" s="4">
        <v>39222</v>
      </c>
      <c r="U957" s="4">
        <v>137278</v>
      </c>
      <c r="V957" s="6">
        <f t="shared" si="28"/>
        <v>16003.594684</v>
      </c>
      <c r="W957" s="6">
        <f t="shared" si="29"/>
        <v>121274.405316</v>
      </c>
    </row>
    <row r="958" spans="1:23" x14ac:dyDescent="0.3">
      <c r="A958" s="2" t="s">
        <v>21</v>
      </c>
      <c r="B958" s="2">
        <v>4.0049999999999999</v>
      </c>
      <c r="C958" s="2">
        <v>2000424236</v>
      </c>
      <c r="D958" s="2">
        <v>74.599999999999994</v>
      </c>
      <c r="E958" s="2"/>
      <c r="F958" s="2">
        <v>675</v>
      </c>
      <c r="G958" s="2">
        <v>975</v>
      </c>
      <c r="H958" s="2">
        <v>4</v>
      </c>
      <c r="I958" s="2">
        <v>1</v>
      </c>
      <c r="J958" s="3">
        <f>IF(A958="Upgrade",IF(OR(H958=4,H958=5),VLOOKUP(I958,'Renewal Rates'!$A$22:$B$27,2,FALSE),2.7%),IF(A958="Renewal",100%,0%))</f>
        <v>0</v>
      </c>
      <c r="K958" s="2" t="s">
        <v>22</v>
      </c>
      <c r="L958" s="2">
        <v>386</v>
      </c>
      <c r="M958" s="2" t="s">
        <v>23</v>
      </c>
      <c r="N958" s="2" t="s">
        <v>24</v>
      </c>
      <c r="O958" s="4">
        <v>470950</v>
      </c>
      <c r="P958" s="4">
        <v>6314</v>
      </c>
      <c r="Q958" s="4">
        <v>160123</v>
      </c>
      <c r="R958" s="4">
        <v>631073</v>
      </c>
      <c r="S958" s="5">
        <v>0.4</v>
      </c>
      <c r="T958" s="4">
        <v>252429</v>
      </c>
      <c r="U958" s="4">
        <v>883503</v>
      </c>
      <c r="V958" s="6">
        <f t="shared" si="28"/>
        <v>0</v>
      </c>
      <c r="W958" s="6">
        <f t="shared" si="29"/>
        <v>883503</v>
      </c>
    </row>
    <row r="959" spans="1:23" x14ac:dyDescent="0.3">
      <c r="A959" s="2" t="s">
        <v>21</v>
      </c>
      <c r="B959" s="2">
        <v>4.0049999999999999</v>
      </c>
      <c r="C959" s="2">
        <v>2000927727</v>
      </c>
      <c r="D959" s="2">
        <v>11.6</v>
      </c>
      <c r="E959" s="2"/>
      <c r="F959" s="2">
        <v>675</v>
      </c>
      <c r="G959" s="2">
        <v>975</v>
      </c>
      <c r="H959" s="2">
        <v>4</v>
      </c>
      <c r="I959" s="2">
        <v>1</v>
      </c>
      <c r="J959" s="3">
        <f>IF(A959="Upgrade",IF(OR(H959=4,H959=5),VLOOKUP(I959,'Renewal Rates'!$A$22:$B$27,2,FALSE),2.7%),IF(A959="Renewal",100%,0%))</f>
        <v>0</v>
      </c>
      <c r="K959" s="2" t="s">
        <v>22</v>
      </c>
      <c r="L959" s="2">
        <v>386</v>
      </c>
      <c r="M959" s="2" t="s">
        <v>23</v>
      </c>
      <c r="N959" s="2" t="s">
        <v>24</v>
      </c>
      <c r="O959" s="4">
        <v>111249</v>
      </c>
      <c r="P959" s="4">
        <v>9571</v>
      </c>
      <c r="Q959" s="4">
        <v>37825</v>
      </c>
      <c r="R959" s="4">
        <v>149074</v>
      </c>
      <c r="S959" s="5">
        <v>0.4</v>
      </c>
      <c r="T959" s="4">
        <v>59630</v>
      </c>
      <c r="U959" s="4">
        <v>208704</v>
      </c>
      <c r="V959" s="6">
        <f t="shared" si="28"/>
        <v>0</v>
      </c>
      <c r="W959" s="6">
        <f t="shared" si="29"/>
        <v>208704</v>
      </c>
    </row>
    <row r="960" spans="1:23" x14ac:dyDescent="0.3">
      <c r="A960" s="2" t="s">
        <v>21</v>
      </c>
      <c r="B960" s="2">
        <v>4.0049999999999999</v>
      </c>
      <c r="C960" s="2">
        <v>3000103030</v>
      </c>
      <c r="D960" s="2">
        <v>35.4</v>
      </c>
      <c r="E960" s="2"/>
      <c r="F960" s="2">
        <v>750</v>
      </c>
      <c r="G960" s="2">
        <v>975</v>
      </c>
      <c r="H960" s="2">
        <v>4</v>
      </c>
      <c r="I960" s="2">
        <v>5</v>
      </c>
      <c r="J960" s="3">
        <f>IF(A960="Upgrade",IF(OR(H960=4,H960=5),VLOOKUP(I960,'Renewal Rates'!$A$22:$B$27,2,FALSE),2.7%),IF(A960="Renewal",100%,0%))</f>
        <v>0.7</v>
      </c>
      <c r="K960" s="2" t="s">
        <v>22</v>
      </c>
      <c r="L960" s="2">
        <v>386</v>
      </c>
      <c r="M960" s="2" t="s">
        <v>23</v>
      </c>
      <c r="N960" s="2" t="s">
        <v>24</v>
      </c>
      <c r="O960" s="4">
        <v>223457</v>
      </c>
      <c r="P960" s="4">
        <v>6309</v>
      </c>
      <c r="Q960" s="4">
        <v>75975</v>
      </c>
      <c r="R960" s="4">
        <v>299432</v>
      </c>
      <c r="S960" s="5">
        <v>0.4</v>
      </c>
      <c r="T960" s="4">
        <v>119773</v>
      </c>
      <c r="U960" s="4">
        <v>419205</v>
      </c>
      <c r="V960" s="6">
        <f t="shared" si="28"/>
        <v>293443.5</v>
      </c>
      <c r="W960" s="6">
        <f t="shared" si="29"/>
        <v>125761.5</v>
      </c>
    </row>
    <row r="961" spans="1:23" x14ac:dyDescent="0.3">
      <c r="A961" s="2" t="s">
        <v>21</v>
      </c>
      <c r="B961" s="2">
        <v>4.0049999999999999</v>
      </c>
      <c r="C961" s="2">
        <v>3000153261</v>
      </c>
      <c r="D961" s="2">
        <v>19.399999999999999</v>
      </c>
      <c r="E961" s="2"/>
      <c r="F961" s="2">
        <v>750</v>
      </c>
      <c r="G961" s="2">
        <v>975</v>
      </c>
      <c r="H961" s="2">
        <v>4</v>
      </c>
      <c r="I961" s="2" t="s">
        <v>27</v>
      </c>
      <c r="J961" s="3">
        <f>IF(A961="Upgrade",IF(OR(H961=4,H961=5),VLOOKUP(I961,'Renewal Rates'!$A$22:$B$27,2,FALSE),2.7%),IF(A961="Renewal",100%,0%))</f>
        <v>0.116578</v>
      </c>
      <c r="K961" s="2" t="s">
        <v>22</v>
      </c>
      <c r="L961" s="2">
        <v>386</v>
      </c>
      <c r="M961" s="2" t="s">
        <v>23</v>
      </c>
      <c r="N961" s="2" t="s">
        <v>24</v>
      </c>
      <c r="O961" s="4">
        <v>148387</v>
      </c>
      <c r="P961" s="4">
        <v>7644</v>
      </c>
      <c r="Q961" s="4">
        <v>50452</v>
      </c>
      <c r="R961" s="4">
        <v>198839</v>
      </c>
      <c r="S961" s="5">
        <v>0.4</v>
      </c>
      <c r="T961" s="4">
        <v>79536</v>
      </c>
      <c r="U961" s="4">
        <v>278375</v>
      </c>
      <c r="V961" s="6">
        <f t="shared" si="28"/>
        <v>32452.400750000001</v>
      </c>
      <c r="W961" s="6">
        <f t="shared" si="29"/>
        <v>245922.59925</v>
      </c>
    </row>
    <row r="962" spans="1:23" x14ac:dyDescent="0.3">
      <c r="A962" s="2" t="s">
        <v>21</v>
      </c>
      <c r="B962" s="2">
        <v>4.0049999999999999</v>
      </c>
      <c r="C962" s="2">
        <v>2000322201</v>
      </c>
      <c r="D962" s="2">
        <v>17</v>
      </c>
      <c r="E962" s="2"/>
      <c r="F962" s="2">
        <v>750</v>
      </c>
      <c r="G962" s="2">
        <v>975</v>
      </c>
      <c r="H962" s="2">
        <v>4</v>
      </c>
      <c r="I962" s="2">
        <v>1</v>
      </c>
      <c r="J962" s="3">
        <f>IF(A962="Upgrade",IF(OR(H962=4,H962=5),VLOOKUP(I962,'Renewal Rates'!$A$22:$B$27,2,FALSE),2.7%),IF(A962="Renewal",100%,0%))</f>
        <v>0</v>
      </c>
      <c r="K962" s="2" t="s">
        <v>22</v>
      </c>
      <c r="L962" s="2">
        <v>386</v>
      </c>
      <c r="M962" s="2" t="s">
        <v>23</v>
      </c>
      <c r="N962" s="2" t="s">
        <v>24</v>
      </c>
      <c r="O962" s="4">
        <v>143944</v>
      </c>
      <c r="P962" s="4">
        <v>8459</v>
      </c>
      <c r="Q962" s="4">
        <v>48941</v>
      </c>
      <c r="R962" s="4">
        <v>192885</v>
      </c>
      <c r="S962" s="5">
        <v>0.4</v>
      </c>
      <c r="T962" s="4">
        <v>77154</v>
      </c>
      <c r="U962" s="4">
        <v>270039</v>
      </c>
      <c r="V962" s="6">
        <f t="shared" si="28"/>
        <v>0</v>
      </c>
      <c r="W962" s="6">
        <f t="shared" si="29"/>
        <v>270039</v>
      </c>
    </row>
    <row r="963" spans="1:23" x14ac:dyDescent="0.3">
      <c r="A963" s="2" t="s">
        <v>21</v>
      </c>
      <c r="B963" s="2">
        <v>4.0049999999999999</v>
      </c>
      <c r="C963" s="2">
        <v>2000519319</v>
      </c>
      <c r="D963" s="2">
        <v>18</v>
      </c>
      <c r="E963" s="2"/>
      <c r="F963" s="2">
        <v>750</v>
      </c>
      <c r="G963" s="2">
        <v>975</v>
      </c>
      <c r="H963" s="2">
        <v>4</v>
      </c>
      <c r="I963" s="2">
        <v>1</v>
      </c>
      <c r="J963" s="3">
        <f>IF(A963="Upgrade",IF(OR(H963=4,H963=5),VLOOKUP(I963,'Renewal Rates'!$A$22:$B$27,2,FALSE),2.7%),IF(A963="Renewal",100%,0%))</f>
        <v>0</v>
      </c>
      <c r="K963" s="2" t="s">
        <v>22</v>
      </c>
      <c r="L963" s="2">
        <v>386</v>
      </c>
      <c r="M963" s="2" t="s">
        <v>23</v>
      </c>
      <c r="N963" s="2" t="s">
        <v>24</v>
      </c>
      <c r="O963" s="4">
        <v>145810</v>
      </c>
      <c r="P963" s="4">
        <v>8090</v>
      </c>
      <c r="Q963" s="4">
        <v>49575</v>
      </c>
      <c r="R963" s="4">
        <v>195385</v>
      </c>
      <c r="S963" s="5">
        <v>0.4</v>
      </c>
      <c r="T963" s="4">
        <v>78154</v>
      </c>
      <c r="U963" s="4">
        <v>273539</v>
      </c>
      <c r="V963" s="6">
        <f t="shared" ref="V963:V1026" si="30">J963*U963</f>
        <v>0</v>
      </c>
      <c r="W963" s="6">
        <f t="shared" ref="W963:W1001" si="31">U963-V963</f>
        <v>273539</v>
      </c>
    </row>
    <row r="964" spans="1:23" x14ac:dyDescent="0.3">
      <c r="A964" s="2" t="s">
        <v>21</v>
      </c>
      <c r="B964" s="2">
        <v>4.0049999999999999</v>
      </c>
      <c r="C964" s="2">
        <v>2000330443</v>
      </c>
      <c r="D964" s="2">
        <v>10.7</v>
      </c>
      <c r="E964" s="2"/>
      <c r="F964" s="2">
        <v>225</v>
      </c>
      <c r="G964" s="2">
        <v>975</v>
      </c>
      <c r="H964" s="2"/>
      <c r="I964" s="2"/>
      <c r="J964" s="3">
        <f>IF(A964="Upgrade",IF(OR(H964=4,H964=5),VLOOKUP(I964,'Renewal Rates'!$A$22:$B$27,2,FALSE),2.7%),IF(A964="Renewal",100%,0%))</f>
        <v>2.7000000000000003E-2</v>
      </c>
      <c r="K964" s="2" t="s">
        <v>22</v>
      </c>
      <c r="L964" s="2">
        <v>386</v>
      </c>
      <c r="M964" s="2" t="s">
        <v>23</v>
      </c>
      <c r="N964" s="2" t="s">
        <v>24</v>
      </c>
      <c r="O964" s="4">
        <v>109530</v>
      </c>
      <c r="P964" s="4">
        <v>10240</v>
      </c>
      <c r="Q964" s="4">
        <v>37240</v>
      </c>
      <c r="R964" s="4">
        <v>146770</v>
      </c>
      <c r="S964" s="5">
        <v>0.4</v>
      </c>
      <c r="T964" s="4">
        <v>58708</v>
      </c>
      <c r="U964" s="4">
        <v>205478</v>
      </c>
      <c r="V964" s="6">
        <f t="shared" si="30"/>
        <v>5547.9060000000009</v>
      </c>
      <c r="W964" s="6">
        <f t="shared" si="31"/>
        <v>199930.09400000001</v>
      </c>
    </row>
    <row r="965" spans="1:23" x14ac:dyDescent="0.3">
      <c r="A965" s="2" t="s">
        <v>21</v>
      </c>
      <c r="B965" s="2">
        <v>4.0049999999999999</v>
      </c>
      <c r="C965" s="2">
        <v>2000323098</v>
      </c>
      <c r="D965" s="2">
        <v>14.9</v>
      </c>
      <c r="E965" s="2"/>
      <c r="F965" s="2">
        <v>225</v>
      </c>
      <c r="G965" s="2">
        <v>975</v>
      </c>
      <c r="H965" s="2"/>
      <c r="I965" s="2"/>
      <c r="J965" s="3">
        <f>IF(A965="Upgrade",IF(OR(H965=4,H965=5),VLOOKUP(I965,'Renewal Rates'!$A$22:$B$27,2,FALSE),2.7%),IF(A965="Renewal",100%,0%))</f>
        <v>2.7000000000000003E-2</v>
      </c>
      <c r="K965" s="2" t="s">
        <v>22</v>
      </c>
      <c r="L965" s="2">
        <v>386</v>
      </c>
      <c r="M965" s="2" t="s">
        <v>23</v>
      </c>
      <c r="N965" s="2" t="s">
        <v>24</v>
      </c>
      <c r="O965" s="4">
        <v>140051</v>
      </c>
      <c r="P965" s="4">
        <v>9388</v>
      </c>
      <c r="Q965" s="4">
        <v>47617</v>
      </c>
      <c r="R965" s="4">
        <v>187668</v>
      </c>
      <c r="S965" s="5">
        <v>0.4</v>
      </c>
      <c r="T965" s="4">
        <v>75067</v>
      </c>
      <c r="U965" s="4">
        <v>262736</v>
      </c>
      <c r="V965" s="6">
        <f t="shared" si="30"/>
        <v>7093.8720000000012</v>
      </c>
      <c r="W965" s="6">
        <f t="shared" si="31"/>
        <v>255642.128</v>
      </c>
    </row>
    <row r="966" spans="1:23" x14ac:dyDescent="0.3">
      <c r="A966" s="2" t="s">
        <v>21</v>
      </c>
      <c r="B966" s="2">
        <v>4.0049999999999999</v>
      </c>
      <c r="C966" s="2">
        <v>2000454976</v>
      </c>
      <c r="D966" s="2">
        <v>59</v>
      </c>
      <c r="E966" s="2"/>
      <c r="F966" s="2">
        <v>225</v>
      </c>
      <c r="G966" s="2">
        <v>975</v>
      </c>
      <c r="H966" s="2"/>
      <c r="I966" s="2"/>
      <c r="J966" s="3">
        <f>IF(A966="Upgrade",IF(OR(H966=4,H966=5),VLOOKUP(I966,'Renewal Rates'!$A$22:$B$27,2,FALSE),2.7%),IF(A966="Renewal",100%,0%))</f>
        <v>2.7000000000000003E-2</v>
      </c>
      <c r="K966" s="2" t="s">
        <v>22</v>
      </c>
      <c r="L966" s="2">
        <v>386</v>
      </c>
      <c r="M966" s="2" t="s">
        <v>23</v>
      </c>
      <c r="N966" s="2" t="s">
        <v>24</v>
      </c>
      <c r="O966" s="4">
        <v>396677</v>
      </c>
      <c r="P966" s="4">
        <v>6722</v>
      </c>
      <c r="Q966" s="4">
        <v>134870</v>
      </c>
      <c r="R966" s="4">
        <v>531547</v>
      </c>
      <c r="S966" s="5">
        <v>0.4</v>
      </c>
      <c r="T966" s="4">
        <v>212619</v>
      </c>
      <c r="U966" s="4">
        <v>744166</v>
      </c>
      <c r="V966" s="6">
        <f t="shared" si="30"/>
        <v>20092.482000000004</v>
      </c>
      <c r="W966" s="6">
        <f t="shared" si="31"/>
        <v>724073.51800000004</v>
      </c>
    </row>
    <row r="967" spans="1:23" x14ac:dyDescent="0.3">
      <c r="A967" s="2" t="s">
        <v>25</v>
      </c>
      <c r="B967" s="2">
        <v>4.0039999999999996</v>
      </c>
      <c r="C967" s="2"/>
      <c r="D967" s="2"/>
      <c r="E967" s="2">
        <v>116.9</v>
      </c>
      <c r="F967" s="2"/>
      <c r="G967" s="2">
        <v>600</v>
      </c>
      <c r="H967" s="2"/>
      <c r="I967" s="2"/>
      <c r="J967" s="3">
        <f>IF(A967="Upgrade",IF(OR(H967=4,H967=5),VLOOKUP(I967,'Renewal Rates'!$A$22:$B$27,2,FALSE),2.7%),IF(A967="Renewal",100%,0%))</f>
        <v>0</v>
      </c>
      <c r="K967" s="2" t="s">
        <v>22</v>
      </c>
      <c r="L967" s="2">
        <v>386</v>
      </c>
      <c r="M967" s="2" t="s">
        <v>23</v>
      </c>
      <c r="N967" s="2" t="s">
        <v>24</v>
      </c>
      <c r="O967" s="4">
        <v>395550</v>
      </c>
      <c r="P967" s="4">
        <v>3384</v>
      </c>
      <c r="Q967" s="4">
        <v>134487</v>
      </c>
      <c r="R967" s="4">
        <v>530037</v>
      </c>
      <c r="S967" s="5">
        <v>0.4</v>
      </c>
      <c r="T967" s="4">
        <v>212015</v>
      </c>
      <c r="U967" s="4">
        <v>742052</v>
      </c>
      <c r="V967" s="6">
        <f t="shared" si="30"/>
        <v>0</v>
      </c>
      <c r="W967" s="6">
        <f t="shared" si="31"/>
        <v>742052</v>
      </c>
    </row>
    <row r="968" spans="1:23" x14ac:dyDescent="0.3">
      <c r="A968" s="2" t="s">
        <v>25</v>
      </c>
      <c r="B968" s="2">
        <v>4.0030000000000001</v>
      </c>
      <c r="C968" s="2"/>
      <c r="D968" s="2"/>
      <c r="E968" s="2">
        <v>127.5</v>
      </c>
      <c r="F968" s="2"/>
      <c r="G968" s="2">
        <v>675</v>
      </c>
      <c r="H968" s="2"/>
      <c r="I968" s="2"/>
      <c r="J968" s="3">
        <f>IF(A968="Upgrade",IF(OR(H968=4,H968=5),VLOOKUP(I968,'Renewal Rates'!$A$22:$B$27,2,FALSE),2.7%),IF(A968="Renewal",100%,0%))</f>
        <v>0</v>
      </c>
      <c r="K968" s="2" t="s">
        <v>22</v>
      </c>
      <c r="L968" s="2">
        <v>386</v>
      </c>
      <c r="M968" s="2" t="s">
        <v>23</v>
      </c>
      <c r="N968" s="2" t="s">
        <v>24</v>
      </c>
      <c r="O968" s="4">
        <v>485779</v>
      </c>
      <c r="P968" s="4">
        <v>3809</v>
      </c>
      <c r="Q968" s="4">
        <v>165165</v>
      </c>
      <c r="R968" s="4">
        <v>650944</v>
      </c>
      <c r="S968" s="5">
        <v>0.4</v>
      </c>
      <c r="T968" s="4">
        <v>260378</v>
      </c>
      <c r="U968" s="4">
        <v>911322</v>
      </c>
      <c r="V968" s="6">
        <f t="shared" si="30"/>
        <v>0</v>
      </c>
      <c r="W968" s="6">
        <f t="shared" si="31"/>
        <v>911322</v>
      </c>
    </row>
    <row r="969" spans="1:23" x14ac:dyDescent="0.3">
      <c r="A969" s="2" t="s">
        <v>21</v>
      </c>
      <c r="B969" s="2">
        <v>5.0060000000000002</v>
      </c>
      <c r="C969" s="2">
        <v>2000502090</v>
      </c>
      <c r="D969" s="2">
        <v>13.5</v>
      </c>
      <c r="E969" s="2"/>
      <c r="F969" s="2">
        <v>375</v>
      </c>
      <c r="G969" s="2">
        <v>525</v>
      </c>
      <c r="H969" s="2"/>
      <c r="I969" s="2"/>
      <c r="J969" s="3">
        <f>IF(A969="Upgrade",IF(OR(H969=4,H969=5),VLOOKUP(I969,'Renewal Rates'!$A$22:$B$27,2,FALSE),2.7%),IF(A969="Renewal",100%,0%))</f>
        <v>2.7000000000000003E-2</v>
      </c>
      <c r="K969" s="2" t="s">
        <v>22</v>
      </c>
      <c r="L969" s="2">
        <v>387</v>
      </c>
      <c r="M969" s="2" t="s">
        <v>23</v>
      </c>
      <c r="N969" s="2" t="s">
        <v>24</v>
      </c>
      <c r="O969" s="4">
        <v>91540</v>
      </c>
      <c r="P969" s="4">
        <v>6774</v>
      </c>
      <c r="Q969" s="4">
        <v>31124</v>
      </c>
      <c r="R969" s="4">
        <v>122664</v>
      </c>
      <c r="S969" s="5">
        <v>0.4</v>
      </c>
      <c r="T969" s="4">
        <v>49065</v>
      </c>
      <c r="U969" s="4">
        <v>171729</v>
      </c>
      <c r="V969" s="6">
        <f t="shared" si="30"/>
        <v>4636.6830000000009</v>
      </c>
      <c r="W969" s="6">
        <f t="shared" si="31"/>
        <v>167092.31700000001</v>
      </c>
    </row>
    <row r="970" spans="1:23" x14ac:dyDescent="0.3">
      <c r="A970" s="2" t="s">
        <v>21</v>
      </c>
      <c r="B970" s="2">
        <v>5.0060000000000002</v>
      </c>
      <c r="C970" s="2">
        <v>2000720633</v>
      </c>
      <c r="D970" s="2">
        <v>12.6</v>
      </c>
      <c r="E970" s="2"/>
      <c r="F970" s="2">
        <v>375</v>
      </c>
      <c r="G970" s="2">
        <v>525</v>
      </c>
      <c r="H970" s="2"/>
      <c r="I970" s="2"/>
      <c r="J970" s="3">
        <f>IF(A970="Upgrade",IF(OR(H970=4,H970=5),VLOOKUP(I970,'Renewal Rates'!$A$22:$B$27,2,FALSE),2.7%),IF(A970="Renewal",100%,0%))</f>
        <v>2.7000000000000003E-2</v>
      </c>
      <c r="K970" s="2" t="s">
        <v>22</v>
      </c>
      <c r="L970" s="2">
        <v>387</v>
      </c>
      <c r="M970" s="2" t="s">
        <v>23</v>
      </c>
      <c r="N970" s="2" t="s">
        <v>24</v>
      </c>
      <c r="O970" s="4">
        <v>54916</v>
      </c>
      <c r="P970" s="4">
        <v>4362</v>
      </c>
      <c r="Q970" s="4">
        <v>18672</v>
      </c>
      <c r="R970" s="4">
        <v>73588</v>
      </c>
      <c r="S970" s="5">
        <v>0.4</v>
      </c>
      <c r="T970" s="4">
        <v>29435</v>
      </c>
      <c r="U970" s="4">
        <v>103023</v>
      </c>
      <c r="V970" s="6">
        <f t="shared" si="30"/>
        <v>2781.6210000000005</v>
      </c>
      <c r="W970" s="6">
        <f t="shared" si="31"/>
        <v>100241.379</v>
      </c>
    </row>
    <row r="971" spans="1:23" x14ac:dyDescent="0.3">
      <c r="A971" s="2" t="s">
        <v>21</v>
      </c>
      <c r="B971" s="2">
        <v>5.0060000000000002</v>
      </c>
      <c r="C971" s="2">
        <v>2000410499</v>
      </c>
      <c r="D971" s="2">
        <v>46.1</v>
      </c>
      <c r="E971" s="2"/>
      <c r="F971" s="2">
        <v>225</v>
      </c>
      <c r="G971" s="2">
        <v>525</v>
      </c>
      <c r="H971" s="2"/>
      <c r="I971" s="2"/>
      <c r="J971" s="3">
        <f>IF(A971="Upgrade",IF(OR(H971=4,H971=5),VLOOKUP(I971,'Renewal Rates'!$A$22:$B$27,2,FALSE),2.7%),IF(A971="Renewal",100%,0%))</f>
        <v>2.7000000000000003E-2</v>
      </c>
      <c r="K971" s="2" t="s">
        <v>22</v>
      </c>
      <c r="L971" s="2">
        <v>387</v>
      </c>
      <c r="M971" s="2" t="s">
        <v>23</v>
      </c>
      <c r="N971" s="2" t="s">
        <v>24</v>
      </c>
      <c r="O971" s="4">
        <v>142462</v>
      </c>
      <c r="P971" s="4">
        <v>3092</v>
      </c>
      <c r="Q971" s="4">
        <v>48437</v>
      </c>
      <c r="R971" s="4">
        <v>190899</v>
      </c>
      <c r="S971" s="5">
        <v>0.4</v>
      </c>
      <c r="T971" s="4">
        <v>76360</v>
      </c>
      <c r="U971" s="4">
        <v>267258</v>
      </c>
      <c r="V971" s="6">
        <f t="shared" si="30"/>
        <v>7215.9660000000013</v>
      </c>
      <c r="W971" s="6">
        <f t="shared" si="31"/>
        <v>260042.03399999999</v>
      </c>
    </row>
    <row r="972" spans="1:23" x14ac:dyDescent="0.3">
      <c r="A972" s="2" t="s">
        <v>21</v>
      </c>
      <c r="B972" s="2">
        <v>5.01</v>
      </c>
      <c r="C972" s="2">
        <v>2000121214</v>
      </c>
      <c r="D972" s="2">
        <v>23.9</v>
      </c>
      <c r="E972" s="2"/>
      <c r="F972" s="2">
        <v>300</v>
      </c>
      <c r="G972" s="2">
        <v>975</v>
      </c>
      <c r="H972" s="2"/>
      <c r="I972" s="2"/>
      <c r="J972" s="3">
        <f>IF(A972="Upgrade",IF(OR(H972=4,H972=5),VLOOKUP(I972,'Renewal Rates'!$A$22:$B$27,2,FALSE),2.7%),IF(A972="Renewal",100%,0%))</f>
        <v>2.7000000000000003E-2</v>
      </c>
      <c r="K972" s="2" t="s">
        <v>22</v>
      </c>
      <c r="L972" s="2">
        <v>387</v>
      </c>
      <c r="M972" s="2" t="s">
        <v>23</v>
      </c>
      <c r="N972" s="2" t="s">
        <v>24</v>
      </c>
      <c r="O972" s="4">
        <v>218411</v>
      </c>
      <c r="P972" s="4">
        <v>9137</v>
      </c>
      <c r="Q972" s="4">
        <v>74260</v>
      </c>
      <c r="R972" s="4">
        <v>292671</v>
      </c>
      <c r="S972" s="5">
        <v>0.4</v>
      </c>
      <c r="T972" s="4">
        <v>117068</v>
      </c>
      <c r="U972" s="4">
        <v>409739</v>
      </c>
      <c r="V972" s="6">
        <f t="shared" si="30"/>
        <v>11062.953000000001</v>
      </c>
      <c r="W972" s="6">
        <f t="shared" si="31"/>
        <v>398676.04700000002</v>
      </c>
    </row>
    <row r="973" spans="1:23" x14ac:dyDescent="0.3">
      <c r="A973" s="2" t="s">
        <v>21</v>
      </c>
      <c r="B973" s="2">
        <v>5.01</v>
      </c>
      <c r="C973" s="2">
        <v>2000560330</v>
      </c>
      <c r="D973" s="2">
        <v>43.1</v>
      </c>
      <c r="E973" s="2"/>
      <c r="F973" s="2">
        <v>450</v>
      </c>
      <c r="G973" s="2">
        <v>975</v>
      </c>
      <c r="H973" s="2"/>
      <c r="I973" s="2"/>
      <c r="J973" s="3">
        <f>IF(A973="Upgrade",IF(OR(H973=4,H973=5),VLOOKUP(I973,'Renewal Rates'!$A$22:$B$27,2,FALSE),2.7%),IF(A973="Renewal",100%,0%))</f>
        <v>2.7000000000000003E-2</v>
      </c>
      <c r="K973" s="2" t="s">
        <v>22</v>
      </c>
      <c r="L973" s="2">
        <v>387</v>
      </c>
      <c r="M973" s="2" t="s">
        <v>23</v>
      </c>
      <c r="N973" s="2" t="s">
        <v>24</v>
      </c>
      <c r="O973" s="4">
        <v>260419</v>
      </c>
      <c r="P973" s="4">
        <v>6041</v>
      </c>
      <c r="Q973" s="4">
        <v>88542</v>
      </c>
      <c r="R973" s="4">
        <v>348961</v>
      </c>
      <c r="S973" s="5">
        <v>0.4</v>
      </c>
      <c r="T973" s="4">
        <v>139585</v>
      </c>
      <c r="U973" s="4">
        <v>488546</v>
      </c>
      <c r="V973" s="6">
        <f t="shared" si="30"/>
        <v>13190.742000000002</v>
      </c>
      <c r="W973" s="6">
        <f t="shared" si="31"/>
        <v>475355.25799999997</v>
      </c>
    </row>
    <row r="974" spans="1:23" x14ac:dyDescent="0.3">
      <c r="A974" s="2" t="s">
        <v>21</v>
      </c>
      <c r="B974" s="2">
        <v>5.01</v>
      </c>
      <c r="C974" s="2">
        <v>3000143843</v>
      </c>
      <c r="D974" s="2">
        <v>35.4</v>
      </c>
      <c r="E974" s="2"/>
      <c r="F974" s="2">
        <v>450</v>
      </c>
      <c r="G974" s="2">
        <v>975</v>
      </c>
      <c r="H974" s="2"/>
      <c r="I974" s="2"/>
      <c r="J974" s="3">
        <f>IF(A974="Upgrade",IF(OR(H974=4,H974=5),VLOOKUP(I974,'Renewal Rates'!$A$22:$B$27,2,FALSE),2.7%),IF(A974="Renewal",100%,0%))</f>
        <v>2.7000000000000003E-2</v>
      </c>
      <c r="K974" s="2" t="s">
        <v>22</v>
      </c>
      <c r="L974" s="2">
        <v>387</v>
      </c>
      <c r="M974" s="2" t="s">
        <v>23</v>
      </c>
      <c r="N974" s="2" t="s">
        <v>24</v>
      </c>
      <c r="O974" s="4">
        <v>223337</v>
      </c>
      <c r="P974" s="4">
        <v>6318</v>
      </c>
      <c r="Q974" s="4">
        <v>75935</v>
      </c>
      <c r="R974" s="4">
        <v>299271</v>
      </c>
      <c r="S974" s="5">
        <v>0.4</v>
      </c>
      <c r="T974" s="4">
        <v>119709</v>
      </c>
      <c r="U974" s="4">
        <v>418980</v>
      </c>
      <c r="V974" s="6">
        <f t="shared" si="30"/>
        <v>11312.460000000001</v>
      </c>
      <c r="W974" s="6">
        <f t="shared" si="31"/>
        <v>407667.54</v>
      </c>
    </row>
    <row r="975" spans="1:23" x14ac:dyDescent="0.3">
      <c r="A975" s="2" t="s">
        <v>21</v>
      </c>
      <c r="B975" s="2">
        <v>5.01</v>
      </c>
      <c r="C975" s="2">
        <v>2000651226</v>
      </c>
      <c r="D975" s="2">
        <v>4.5</v>
      </c>
      <c r="E975" s="2"/>
      <c r="F975" s="2">
        <v>400</v>
      </c>
      <c r="G975" s="2">
        <v>975</v>
      </c>
      <c r="H975" s="2"/>
      <c r="I975" s="2"/>
      <c r="J975" s="3">
        <f>IF(A975="Upgrade",IF(OR(H975=4,H975=5),VLOOKUP(I975,'Renewal Rates'!$A$22:$B$27,2,FALSE),2.7%),IF(A975="Renewal",100%,0%))</f>
        <v>2.7000000000000003E-2</v>
      </c>
      <c r="K975" s="2" t="s">
        <v>22</v>
      </c>
      <c r="L975" s="2">
        <v>387</v>
      </c>
      <c r="M975" s="2" t="s">
        <v>23</v>
      </c>
      <c r="N975" s="2" t="s">
        <v>24</v>
      </c>
      <c r="O975" s="4">
        <v>75354</v>
      </c>
      <c r="P975" s="4">
        <v>16730</v>
      </c>
      <c r="Q975" s="4">
        <v>25620</v>
      </c>
      <c r="R975" s="4">
        <v>100974</v>
      </c>
      <c r="S975" s="5">
        <v>0.4</v>
      </c>
      <c r="T975" s="4">
        <v>40390</v>
      </c>
      <c r="U975" s="4">
        <v>141364</v>
      </c>
      <c r="V975" s="6">
        <f t="shared" si="30"/>
        <v>3816.8280000000004</v>
      </c>
      <c r="W975" s="6">
        <f t="shared" si="31"/>
        <v>137547.17199999999</v>
      </c>
    </row>
    <row r="976" spans="1:23" x14ac:dyDescent="0.3">
      <c r="A976" s="2" t="s">
        <v>21</v>
      </c>
      <c r="B976" s="2">
        <v>5.01</v>
      </c>
      <c r="C976" s="2">
        <v>2000685961</v>
      </c>
      <c r="D976" s="2">
        <v>10.4</v>
      </c>
      <c r="E976" s="2"/>
      <c r="F976" s="2">
        <v>450</v>
      </c>
      <c r="G976" s="2">
        <v>975</v>
      </c>
      <c r="H976" s="2"/>
      <c r="I976" s="2"/>
      <c r="J976" s="3">
        <f>IF(A976="Upgrade",IF(OR(H976=4,H976=5),VLOOKUP(I976,'Renewal Rates'!$A$22:$B$27,2,FALSE),2.7%),IF(A976="Renewal",100%,0%))</f>
        <v>2.7000000000000003E-2</v>
      </c>
      <c r="K976" s="2" t="s">
        <v>22</v>
      </c>
      <c r="L976" s="2">
        <v>387</v>
      </c>
      <c r="M976" s="2" t="s">
        <v>23</v>
      </c>
      <c r="N976" s="2" t="s">
        <v>24</v>
      </c>
      <c r="O976" s="4">
        <v>108940</v>
      </c>
      <c r="P976" s="4">
        <v>10497</v>
      </c>
      <c r="Q976" s="4">
        <v>37039</v>
      </c>
      <c r="R976" s="4">
        <v>145979</v>
      </c>
      <c r="S976" s="5">
        <v>0.4</v>
      </c>
      <c r="T976" s="4">
        <v>58392</v>
      </c>
      <c r="U976" s="4">
        <v>204371</v>
      </c>
      <c r="V976" s="6">
        <f t="shared" si="30"/>
        <v>5518.0170000000007</v>
      </c>
      <c r="W976" s="6">
        <f t="shared" si="31"/>
        <v>198852.98300000001</v>
      </c>
    </row>
    <row r="977" spans="1:23" x14ac:dyDescent="0.3">
      <c r="A977" s="2" t="s">
        <v>21</v>
      </c>
      <c r="B977" s="2">
        <v>5.0049999999999999</v>
      </c>
      <c r="C977" s="2">
        <v>2000369495</v>
      </c>
      <c r="D977" s="2">
        <v>4.3</v>
      </c>
      <c r="E977" s="2"/>
      <c r="F977" s="2">
        <v>450</v>
      </c>
      <c r="G977" s="2">
        <v>825</v>
      </c>
      <c r="H977" s="2"/>
      <c r="I977" s="2"/>
      <c r="J977" s="3">
        <f>IF(A977="Upgrade",IF(OR(H977=4,H977=5),VLOOKUP(I977,'Renewal Rates'!$A$22:$B$27,2,FALSE),2.7%),IF(A977="Renewal",100%,0%))</f>
        <v>2.7000000000000003E-2</v>
      </c>
      <c r="K977" s="2" t="s">
        <v>22</v>
      </c>
      <c r="L977" s="2">
        <v>387</v>
      </c>
      <c r="M977" s="2" t="s">
        <v>23</v>
      </c>
      <c r="N977" s="2" t="s">
        <v>24</v>
      </c>
      <c r="O977" s="4">
        <v>55604</v>
      </c>
      <c r="P977" s="4">
        <v>12990</v>
      </c>
      <c r="Q977" s="4">
        <v>18905</v>
      </c>
      <c r="R977" s="4">
        <v>74509</v>
      </c>
      <c r="S977" s="5">
        <v>0.4</v>
      </c>
      <c r="T977" s="4">
        <v>29804</v>
      </c>
      <c r="U977" s="4">
        <v>104313</v>
      </c>
      <c r="V977" s="6">
        <f t="shared" si="30"/>
        <v>2816.4510000000005</v>
      </c>
      <c r="W977" s="6">
        <f t="shared" si="31"/>
        <v>101496.549</v>
      </c>
    </row>
    <row r="978" spans="1:23" x14ac:dyDescent="0.3">
      <c r="A978" s="2" t="s">
        <v>21</v>
      </c>
      <c r="B978" s="2">
        <v>5.0049999999999999</v>
      </c>
      <c r="C978" s="2">
        <v>2000085571</v>
      </c>
      <c r="D978" s="2">
        <v>98.3</v>
      </c>
      <c r="E978" s="2"/>
      <c r="F978" s="2">
        <v>450</v>
      </c>
      <c r="G978" s="2">
        <v>825</v>
      </c>
      <c r="H978" s="2"/>
      <c r="I978" s="2"/>
      <c r="J978" s="3">
        <f>IF(A978="Upgrade",IF(OR(H978=4,H978=5),VLOOKUP(I978,'Renewal Rates'!$A$22:$B$27,2,FALSE),2.7%),IF(A978="Renewal",100%,0%))</f>
        <v>2.7000000000000003E-2</v>
      </c>
      <c r="K978" s="2" t="s">
        <v>22</v>
      </c>
      <c r="L978" s="2">
        <v>387</v>
      </c>
      <c r="M978" s="2" t="s">
        <v>23</v>
      </c>
      <c r="N978" s="2" t="s">
        <v>24</v>
      </c>
      <c r="O978" s="4">
        <v>436781</v>
      </c>
      <c r="P978" s="4">
        <v>4442</v>
      </c>
      <c r="Q978" s="4">
        <v>148505</v>
      </c>
      <c r="R978" s="4">
        <v>585286</v>
      </c>
      <c r="S978" s="5">
        <v>0.4</v>
      </c>
      <c r="T978" s="4">
        <v>234114</v>
      </c>
      <c r="U978" s="4">
        <v>819400</v>
      </c>
      <c r="V978" s="6">
        <f t="shared" si="30"/>
        <v>22123.800000000003</v>
      </c>
      <c r="W978" s="6">
        <f t="shared" si="31"/>
        <v>797276.2</v>
      </c>
    </row>
    <row r="979" spans="1:23" x14ac:dyDescent="0.3">
      <c r="A979" s="2" t="s">
        <v>21</v>
      </c>
      <c r="B979" s="2">
        <v>5.0049999999999999</v>
      </c>
      <c r="C979" s="2">
        <v>2000604950</v>
      </c>
      <c r="D979" s="2">
        <v>94.2</v>
      </c>
      <c r="E979" s="2"/>
      <c r="F979" s="2">
        <v>450</v>
      </c>
      <c r="G979" s="2">
        <v>825</v>
      </c>
      <c r="H979" s="2"/>
      <c r="I979" s="2"/>
      <c r="J979" s="3">
        <f>IF(A979="Upgrade",IF(OR(H979=4,H979=5),VLOOKUP(I979,'Renewal Rates'!$A$22:$B$27,2,FALSE),2.7%),IF(A979="Renewal",100%,0%))</f>
        <v>2.7000000000000003E-2</v>
      </c>
      <c r="K979" s="2" t="s">
        <v>22</v>
      </c>
      <c r="L979" s="2">
        <v>387</v>
      </c>
      <c r="M979" s="2" t="s">
        <v>23</v>
      </c>
      <c r="N979" s="2" t="s">
        <v>24</v>
      </c>
      <c r="O979" s="4">
        <v>411035</v>
      </c>
      <c r="P979" s="4">
        <v>4364</v>
      </c>
      <c r="Q979" s="4">
        <v>139752</v>
      </c>
      <c r="R979" s="4">
        <v>550787</v>
      </c>
      <c r="S979" s="5">
        <v>0.4</v>
      </c>
      <c r="T979" s="4">
        <v>220315</v>
      </c>
      <c r="U979" s="4">
        <v>771102</v>
      </c>
      <c r="V979" s="6">
        <f t="shared" si="30"/>
        <v>20819.754000000001</v>
      </c>
      <c r="W979" s="6">
        <f t="shared" si="31"/>
        <v>750282.24600000004</v>
      </c>
    </row>
    <row r="980" spans="1:23" x14ac:dyDescent="0.3">
      <c r="A980" s="2" t="s">
        <v>25</v>
      </c>
      <c r="B980" s="2">
        <v>3.0230000000000001</v>
      </c>
      <c r="C980" s="2"/>
      <c r="D980" s="2"/>
      <c r="E980" s="2">
        <v>104.8</v>
      </c>
      <c r="F980" s="2"/>
      <c r="G980" s="2">
        <v>450</v>
      </c>
      <c r="H980" s="2"/>
      <c r="I980" s="2"/>
      <c r="J980" s="3">
        <f>IF(A980="Upgrade",IF(OR(H980=4,H980=5),VLOOKUP(I980,'Renewal Rates'!$A$22:$B$27,2,FALSE),2.7%),IF(A980="Renewal",100%,0%))</f>
        <v>0</v>
      </c>
      <c r="K980" s="2" t="s">
        <v>22</v>
      </c>
      <c r="L980" s="2">
        <v>387</v>
      </c>
      <c r="M980" s="2" t="s">
        <v>23</v>
      </c>
      <c r="N980" s="2" t="s">
        <v>24</v>
      </c>
      <c r="O980" s="4">
        <v>310183</v>
      </c>
      <c r="P980" s="4">
        <v>2961</v>
      </c>
      <c r="Q980" s="4">
        <v>105462</v>
      </c>
      <c r="R980" s="4">
        <v>415646</v>
      </c>
      <c r="S980" s="5">
        <v>0.4</v>
      </c>
      <c r="T980" s="4">
        <v>166258</v>
      </c>
      <c r="U980" s="4">
        <v>581904</v>
      </c>
      <c r="V980" s="6">
        <f t="shared" si="30"/>
        <v>0</v>
      </c>
      <c r="W980" s="6">
        <f t="shared" si="31"/>
        <v>581904</v>
      </c>
    </row>
    <row r="981" spans="1:23" x14ac:dyDescent="0.3">
      <c r="A981" s="2" t="s">
        <v>21</v>
      </c>
      <c r="B981" s="2">
        <v>5.0039999999999996</v>
      </c>
      <c r="C981" s="2">
        <v>2000594440</v>
      </c>
      <c r="D981" s="2">
        <v>79.5</v>
      </c>
      <c r="E981" s="2"/>
      <c r="F981" s="2">
        <v>225</v>
      </c>
      <c r="G981" s="2">
        <v>525</v>
      </c>
      <c r="H981" s="2">
        <v>4</v>
      </c>
      <c r="I981" s="2">
        <v>2</v>
      </c>
      <c r="J981" s="3">
        <f>IF(A981="Upgrade",IF(OR(H981=4,H981=5),VLOOKUP(I981,'Renewal Rates'!$A$22:$B$27,2,FALSE),2.7%),IF(A981="Renewal",100%,0%))</f>
        <v>0</v>
      </c>
      <c r="K981" s="2" t="s">
        <v>22</v>
      </c>
      <c r="L981" s="2">
        <v>387</v>
      </c>
      <c r="M981" s="2" t="s">
        <v>23</v>
      </c>
      <c r="N981" s="2" t="s">
        <v>24</v>
      </c>
      <c r="O981" s="4">
        <v>265170</v>
      </c>
      <c r="P981" s="4">
        <v>3337</v>
      </c>
      <c r="Q981" s="4">
        <v>90158</v>
      </c>
      <c r="R981" s="4">
        <v>355328</v>
      </c>
      <c r="S981" s="5">
        <v>0.4</v>
      </c>
      <c r="T981" s="4">
        <v>142131</v>
      </c>
      <c r="U981" s="4">
        <v>497460</v>
      </c>
      <c r="V981" s="6">
        <f t="shared" si="30"/>
        <v>0</v>
      </c>
      <c r="W981" s="6">
        <f t="shared" si="31"/>
        <v>497460</v>
      </c>
    </row>
    <row r="982" spans="1:23" x14ac:dyDescent="0.3">
      <c r="A982" s="2" t="s">
        <v>21</v>
      </c>
      <c r="B982" s="2">
        <v>5.0039999999999996</v>
      </c>
      <c r="C982" s="2">
        <v>2000630816</v>
      </c>
      <c r="D982" s="2">
        <v>35.9</v>
      </c>
      <c r="E982" s="2"/>
      <c r="F982" s="2">
        <v>225</v>
      </c>
      <c r="G982" s="2">
        <v>525</v>
      </c>
      <c r="H982" s="2">
        <v>4</v>
      </c>
      <c r="I982" s="2">
        <v>3</v>
      </c>
      <c r="J982" s="3">
        <f>IF(A982="Upgrade",IF(OR(H982=4,H982=5),VLOOKUP(I982,'Renewal Rates'!$A$22:$B$27,2,FALSE),2.7%),IF(A982="Renewal",100%,0%))</f>
        <v>0.21</v>
      </c>
      <c r="K982" s="2" t="s">
        <v>22</v>
      </c>
      <c r="L982" s="2">
        <v>387</v>
      </c>
      <c r="M982" s="2" t="s">
        <v>23</v>
      </c>
      <c r="N982" s="2" t="s">
        <v>24</v>
      </c>
      <c r="O982" s="4">
        <v>114177</v>
      </c>
      <c r="P982" s="4">
        <v>3177</v>
      </c>
      <c r="Q982" s="4">
        <v>38820</v>
      </c>
      <c r="R982" s="4">
        <v>152997</v>
      </c>
      <c r="S982" s="5">
        <v>0.4</v>
      </c>
      <c r="T982" s="4">
        <v>61199</v>
      </c>
      <c r="U982" s="4">
        <v>214195</v>
      </c>
      <c r="V982" s="6">
        <f t="shared" si="30"/>
        <v>44980.95</v>
      </c>
      <c r="W982" s="6">
        <f t="shared" si="31"/>
        <v>169214.05</v>
      </c>
    </row>
    <row r="983" spans="1:23" x14ac:dyDescent="0.3">
      <c r="A983" s="2" t="s">
        <v>21</v>
      </c>
      <c r="B983" s="2">
        <v>5.0039999999999996</v>
      </c>
      <c r="C983" s="2">
        <v>2000618516</v>
      </c>
      <c r="D983" s="2">
        <v>4</v>
      </c>
      <c r="E983" s="2"/>
      <c r="F983" s="2">
        <v>300</v>
      </c>
      <c r="G983" s="2">
        <v>525</v>
      </c>
      <c r="H983" s="2"/>
      <c r="I983" s="2"/>
      <c r="J983" s="3">
        <f>IF(A983="Upgrade",IF(OR(H983=4,H983=5),VLOOKUP(I983,'Renewal Rates'!$A$22:$B$27,2,FALSE),2.7%),IF(A983="Renewal",100%,0%))</f>
        <v>2.7000000000000003E-2</v>
      </c>
      <c r="K983" s="2" t="s">
        <v>22</v>
      </c>
      <c r="L983" s="2">
        <v>387</v>
      </c>
      <c r="M983" s="2" t="s">
        <v>23</v>
      </c>
      <c r="N983" s="2" t="s">
        <v>24</v>
      </c>
      <c r="O983" s="4">
        <v>47422</v>
      </c>
      <c r="P983" s="4">
        <v>11839</v>
      </c>
      <c r="Q983" s="4">
        <v>16124</v>
      </c>
      <c r="R983" s="4">
        <v>63546</v>
      </c>
      <c r="S983" s="5">
        <v>0.4</v>
      </c>
      <c r="T983" s="4">
        <v>25418</v>
      </c>
      <c r="U983" s="4">
        <v>88964</v>
      </c>
      <c r="V983" s="6">
        <f t="shared" si="30"/>
        <v>2402.0280000000002</v>
      </c>
      <c r="W983" s="6">
        <f t="shared" si="31"/>
        <v>86561.971999999994</v>
      </c>
    </row>
    <row r="984" spans="1:23" x14ac:dyDescent="0.3">
      <c r="A984" s="2" t="s">
        <v>21</v>
      </c>
      <c r="B984" s="2">
        <v>5.0039999999999996</v>
      </c>
      <c r="C984" s="2">
        <v>2000302510</v>
      </c>
      <c r="D984" s="2">
        <v>51.5</v>
      </c>
      <c r="E984" s="2"/>
      <c r="F984" s="2">
        <v>300</v>
      </c>
      <c r="G984" s="2">
        <v>525</v>
      </c>
      <c r="H984" s="2"/>
      <c r="I984" s="2"/>
      <c r="J984" s="3">
        <f>IF(A984="Upgrade",IF(OR(H984=4,H984=5),VLOOKUP(I984,'Renewal Rates'!$A$22:$B$27,2,FALSE),2.7%),IF(A984="Renewal",100%,0%))</f>
        <v>2.7000000000000003E-2</v>
      </c>
      <c r="K984" s="2" t="s">
        <v>22</v>
      </c>
      <c r="L984" s="2">
        <v>387</v>
      </c>
      <c r="M984" s="2" t="s">
        <v>23</v>
      </c>
      <c r="N984" s="2" t="s">
        <v>24</v>
      </c>
      <c r="O984" s="4">
        <v>166057</v>
      </c>
      <c r="P984" s="4">
        <v>3225</v>
      </c>
      <c r="Q984" s="4">
        <v>56459</v>
      </c>
      <c r="R984" s="4">
        <v>222517</v>
      </c>
      <c r="S984" s="5">
        <v>0.4</v>
      </c>
      <c r="T984" s="4">
        <v>89007</v>
      </c>
      <c r="U984" s="4">
        <v>311523</v>
      </c>
      <c r="V984" s="6">
        <f t="shared" si="30"/>
        <v>8411.121000000001</v>
      </c>
      <c r="W984" s="6">
        <f t="shared" si="31"/>
        <v>303111.87900000002</v>
      </c>
    </row>
    <row r="985" spans="1:23" x14ac:dyDescent="0.3">
      <c r="A985" s="2" t="s">
        <v>21</v>
      </c>
      <c r="B985" s="2">
        <v>5.0030000000000001</v>
      </c>
      <c r="C985" s="2">
        <v>2000062545</v>
      </c>
      <c r="D985" s="2">
        <v>43.5</v>
      </c>
      <c r="E985" s="2"/>
      <c r="F985" s="2">
        <v>300</v>
      </c>
      <c r="G985" s="2">
        <v>600</v>
      </c>
      <c r="H985" s="2"/>
      <c r="I985" s="2"/>
      <c r="J985" s="3">
        <f>IF(A985="Upgrade",IF(OR(H985=4,H985=5),VLOOKUP(I985,'Renewal Rates'!$A$22:$B$27,2,FALSE),2.7%),IF(A985="Renewal",100%,0%))</f>
        <v>2.7000000000000003E-2</v>
      </c>
      <c r="K985" s="2" t="s">
        <v>22</v>
      </c>
      <c r="L985" s="2">
        <v>387</v>
      </c>
      <c r="M985" s="2" t="s">
        <v>23</v>
      </c>
      <c r="N985" s="2" t="s">
        <v>24</v>
      </c>
      <c r="O985" s="4">
        <v>163090</v>
      </c>
      <c r="P985" s="4">
        <v>3753</v>
      </c>
      <c r="Q985" s="4">
        <v>55451</v>
      </c>
      <c r="R985" s="4">
        <v>218541</v>
      </c>
      <c r="S985" s="5">
        <v>0.4</v>
      </c>
      <c r="T985" s="4">
        <v>87416</v>
      </c>
      <c r="U985" s="4">
        <v>305957</v>
      </c>
      <c r="V985" s="6">
        <f t="shared" si="30"/>
        <v>8260.8390000000018</v>
      </c>
      <c r="W985" s="6">
        <v>0</v>
      </c>
    </row>
    <row r="986" spans="1:23" x14ac:dyDescent="0.3">
      <c r="A986" s="2" t="s">
        <v>21</v>
      </c>
      <c r="B986" s="2">
        <v>5.0030000000000001</v>
      </c>
      <c r="C986" s="2">
        <v>2000462771</v>
      </c>
      <c r="D986" s="2">
        <v>67.7</v>
      </c>
      <c r="E986" s="2"/>
      <c r="F986" s="2">
        <v>300</v>
      </c>
      <c r="G986" s="2">
        <v>600</v>
      </c>
      <c r="H986" s="2">
        <v>4</v>
      </c>
      <c r="I986" s="2">
        <v>3</v>
      </c>
      <c r="J986" s="3">
        <f>IF(A986="Upgrade",IF(OR(H986=4,H986=5),VLOOKUP(I986,'Renewal Rates'!$A$22:$B$27,2,FALSE),2.7%),IF(A986="Renewal",100%,0%))</f>
        <v>0.21</v>
      </c>
      <c r="K986" s="2" t="s">
        <v>22</v>
      </c>
      <c r="L986" s="2">
        <v>387</v>
      </c>
      <c r="M986" s="2" t="s">
        <v>23</v>
      </c>
      <c r="N986" s="2" t="s">
        <v>24</v>
      </c>
      <c r="O986" s="4">
        <v>229116</v>
      </c>
      <c r="P986" s="4">
        <v>3382</v>
      </c>
      <c r="Q986" s="4">
        <v>77900</v>
      </c>
      <c r="R986" s="4">
        <v>307016</v>
      </c>
      <c r="S986" s="5">
        <v>0.4</v>
      </c>
      <c r="T986" s="4">
        <v>122806</v>
      </c>
      <c r="U986" s="4">
        <v>429822</v>
      </c>
      <c r="V986" s="6">
        <f t="shared" si="30"/>
        <v>90262.62</v>
      </c>
      <c r="W986" s="6">
        <f t="shared" si="31"/>
        <v>339559.38</v>
      </c>
    </row>
    <row r="987" spans="1:23" x14ac:dyDescent="0.3">
      <c r="A987" s="2" t="s">
        <v>21</v>
      </c>
      <c r="B987" s="2">
        <v>5.0090000000000003</v>
      </c>
      <c r="C987" s="2">
        <v>2000883247</v>
      </c>
      <c r="D987" s="2">
        <v>15.3</v>
      </c>
      <c r="E987" s="2"/>
      <c r="F987" s="2">
        <v>375</v>
      </c>
      <c r="G987" s="2">
        <v>1125</v>
      </c>
      <c r="H987" s="2"/>
      <c r="I987" s="2"/>
      <c r="J987" s="3">
        <f>IF(A987="Upgrade",IF(OR(H987=4,H987=5),VLOOKUP(I987,'Renewal Rates'!$A$22:$B$27,2,FALSE),2.7%),IF(A987="Renewal",100%,0%))</f>
        <v>2.7000000000000003E-2</v>
      </c>
      <c r="K987" s="2" t="s">
        <v>22</v>
      </c>
      <c r="L987" s="2">
        <v>387</v>
      </c>
      <c r="M987" s="2" t="s">
        <v>23</v>
      </c>
      <c r="N987" s="2" t="s">
        <v>24</v>
      </c>
      <c r="O987" s="4">
        <v>145001</v>
      </c>
      <c r="P987" s="4">
        <v>9465</v>
      </c>
      <c r="Q987" s="4">
        <v>49300</v>
      </c>
      <c r="R987" s="4">
        <v>194301</v>
      </c>
      <c r="S987" s="5">
        <v>0.4</v>
      </c>
      <c r="T987" s="4">
        <v>77720</v>
      </c>
      <c r="U987" s="4">
        <v>272021</v>
      </c>
      <c r="V987" s="6">
        <f t="shared" si="30"/>
        <v>7344.5670000000009</v>
      </c>
      <c r="W987" s="6">
        <f t="shared" si="31"/>
        <v>264676.43300000002</v>
      </c>
    </row>
    <row r="988" spans="1:23" x14ac:dyDescent="0.3">
      <c r="A988" s="2" t="s">
        <v>21</v>
      </c>
      <c r="B988" s="2">
        <v>5.0090000000000003</v>
      </c>
      <c r="C988" s="2">
        <v>2000861926</v>
      </c>
      <c r="D988" s="2">
        <v>38.700000000000003</v>
      </c>
      <c r="E988" s="2"/>
      <c r="F988" s="2">
        <v>300</v>
      </c>
      <c r="G988" s="2">
        <v>1125</v>
      </c>
      <c r="H988" s="2"/>
      <c r="I988" s="2"/>
      <c r="J988" s="3">
        <f>IF(A988="Upgrade",IF(OR(H988=4,H988=5),VLOOKUP(I988,'Renewal Rates'!$A$22:$B$27,2,FALSE),2.7%),IF(A988="Renewal",100%,0%))</f>
        <v>2.7000000000000003E-2</v>
      </c>
      <c r="K988" s="2" t="s">
        <v>22</v>
      </c>
      <c r="L988" s="2">
        <v>387</v>
      </c>
      <c r="M988" s="2" t="s">
        <v>23</v>
      </c>
      <c r="N988" s="2" t="s">
        <v>24</v>
      </c>
      <c r="O988" s="4">
        <v>286942</v>
      </c>
      <c r="P988" s="4">
        <v>7417</v>
      </c>
      <c r="Q988" s="4">
        <v>97560</v>
      </c>
      <c r="R988" s="4">
        <v>384503</v>
      </c>
      <c r="S988" s="5">
        <v>0.4</v>
      </c>
      <c r="T988" s="4">
        <v>153801</v>
      </c>
      <c r="U988" s="4">
        <v>538304</v>
      </c>
      <c r="V988" s="6">
        <f t="shared" si="30"/>
        <v>14534.208000000002</v>
      </c>
      <c r="W988" s="6">
        <f t="shared" si="31"/>
        <v>523769.79200000002</v>
      </c>
    </row>
    <row r="989" spans="1:23" x14ac:dyDescent="0.3">
      <c r="A989" s="2" t="s">
        <v>21</v>
      </c>
      <c r="B989" s="2">
        <v>5.0090000000000003</v>
      </c>
      <c r="C989" s="2">
        <v>2000853916</v>
      </c>
      <c r="D989" s="2">
        <v>6.5</v>
      </c>
      <c r="E989" s="2"/>
      <c r="F989" s="2">
        <v>300</v>
      </c>
      <c r="G989" s="2">
        <v>1125</v>
      </c>
      <c r="H989" s="2"/>
      <c r="I989" s="2"/>
      <c r="J989" s="3">
        <f>IF(A989="Upgrade",IF(OR(H989=4,H989=5),VLOOKUP(I989,'Renewal Rates'!$A$22:$B$27,2,FALSE),2.7%),IF(A989="Renewal",100%,0%))</f>
        <v>2.7000000000000003E-2</v>
      </c>
      <c r="K989" s="2" t="s">
        <v>22</v>
      </c>
      <c r="L989" s="2">
        <v>387</v>
      </c>
      <c r="M989" s="2" t="s">
        <v>23</v>
      </c>
      <c r="N989" s="2" t="s">
        <v>24</v>
      </c>
      <c r="O989" s="4">
        <v>102986</v>
      </c>
      <c r="P989" s="4">
        <v>15851</v>
      </c>
      <c r="Q989" s="4">
        <v>35015</v>
      </c>
      <c r="R989" s="4">
        <v>138001</v>
      </c>
      <c r="S989" s="5">
        <v>0.4</v>
      </c>
      <c r="T989" s="4">
        <v>55200</v>
      </c>
      <c r="U989" s="4">
        <v>193201</v>
      </c>
      <c r="V989" s="6">
        <f t="shared" si="30"/>
        <v>5216.4270000000006</v>
      </c>
      <c r="W989" s="6">
        <f t="shared" si="31"/>
        <v>187984.573</v>
      </c>
    </row>
    <row r="990" spans="1:23" x14ac:dyDescent="0.3">
      <c r="A990" s="2" t="s">
        <v>21</v>
      </c>
      <c r="B990" s="2">
        <v>5.0090000000000003</v>
      </c>
      <c r="C990" s="2">
        <v>2000555391</v>
      </c>
      <c r="D990" s="2">
        <v>97.9</v>
      </c>
      <c r="E990" s="2"/>
      <c r="F990" s="2">
        <v>300</v>
      </c>
      <c r="G990" s="2">
        <v>1125</v>
      </c>
      <c r="H990" s="2"/>
      <c r="I990" s="2"/>
      <c r="J990" s="3">
        <f>IF(A990="Upgrade",IF(OR(H990=4,H990=5),VLOOKUP(I990,'Renewal Rates'!$A$22:$B$27,2,FALSE),2.7%),IF(A990="Renewal",100%,0%))</f>
        <v>2.7000000000000003E-2</v>
      </c>
      <c r="K990" s="2" t="s">
        <v>22</v>
      </c>
      <c r="L990" s="2">
        <v>387</v>
      </c>
      <c r="M990" s="2" t="s">
        <v>23</v>
      </c>
      <c r="N990" s="2" t="s">
        <v>24</v>
      </c>
      <c r="O990" s="4">
        <v>658637</v>
      </c>
      <c r="P990" s="4">
        <v>6727</v>
      </c>
      <c r="Q990" s="4">
        <v>223937</v>
      </c>
      <c r="R990" s="4">
        <v>882574</v>
      </c>
      <c r="S990" s="5">
        <v>0.4</v>
      </c>
      <c r="T990" s="4">
        <v>353029</v>
      </c>
      <c r="U990" s="4">
        <v>1235603</v>
      </c>
      <c r="V990" s="6">
        <f t="shared" si="30"/>
        <v>33361.281000000003</v>
      </c>
      <c r="W990" s="6">
        <f t="shared" si="31"/>
        <v>1202241.719</v>
      </c>
    </row>
    <row r="991" spans="1:23" x14ac:dyDescent="0.3">
      <c r="A991" s="2" t="s">
        <v>21</v>
      </c>
      <c r="B991" s="2">
        <v>5.0019999999999998</v>
      </c>
      <c r="C991" s="2">
        <v>2000742972</v>
      </c>
      <c r="D991" s="2">
        <v>24.5</v>
      </c>
      <c r="E991" s="2"/>
      <c r="F991" s="2">
        <v>300</v>
      </c>
      <c r="G991" s="2">
        <v>900</v>
      </c>
      <c r="H991" s="2"/>
      <c r="I991" s="2"/>
      <c r="J991" s="3">
        <f>IF(A991="Upgrade",IF(OR(H991=4,H991=5),VLOOKUP(I991,'Renewal Rates'!$A$22:$B$27,2,FALSE),2.7%),IF(A991="Renewal",100%,0%))</f>
        <v>2.7000000000000003E-2</v>
      </c>
      <c r="K991" s="2" t="s">
        <v>22</v>
      </c>
      <c r="L991" s="2">
        <v>387</v>
      </c>
      <c r="M991" s="2" t="s">
        <v>23</v>
      </c>
      <c r="N991" s="2" t="s">
        <v>24</v>
      </c>
      <c r="O991" s="4">
        <v>161383</v>
      </c>
      <c r="P991" s="4">
        <v>6575</v>
      </c>
      <c r="Q991" s="4">
        <v>54870</v>
      </c>
      <c r="R991" s="4">
        <v>216254</v>
      </c>
      <c r="S991" s="5">
        <v>0.4</v>
      </c>
      <c r="T991" s="4">
        <v>86501</v>
      </c>
      <c r="U991" s="4">
        <v>302755</v>
      </c>
      <c r="V991" s="6">
        <f t="shared" si="30"/>
        <v>8174.3850000000011</v>
      </c>
      <c r="W991" s="6">
        <f t="shared" si="31"/>
        <v>294580.61499999999</v>
      </c>
    </row>
    <row r="992" spans="1:23" x14ac:dyDescent="0.3">
      <c r="A992" s="2" t="s">
        <v>21</v>
      </c>
      <c r="B992" s="2">
        <v>5.0019999999999998</v>
      </c>
      <c r="C992" s="2">
        <v>2000081960</v>
      </c>
      <c r="D992" s="2">
        <v>72</v>
      </c>
      <c r="E992" s="2"/>
      <c r="F992" s="2">
        <v>300</v>
      </c>
      <c r="G992" s="2">
        <v>900</v>
      </c>
      <c r="H992" s="2"/>
      <c r="I992" s="2"/>
      <c r="J992" s="3">
        <f>IF(A992="Upgrade",IF(OR(H992=4,H992=5),VLOOKUP(I992,'Renewal Rates'!$A$22:$B$27,2,FALSE),2.7%),IF(A992="Renewal",100%,0%))</f>
        <v>2.7000000000000003E-2</v>
      </c>
      <c r="K992" s="2" t="s">
        <v>22</v>
      </c>
      <c r="L992" s="2">
        <v>387</v>
      </c>
      <c r="M992" s="2" t="s">
        <v>23</v>
      </c>
      <c r="N992" s="2" t="s">
        <v>24</v>
      </c>
      <c r="O992" s="4">
        <v>401280</v>
      </c>
      <c r="P992" s="4">
        <v>5571</v>
      </c>
      <c r="Q992" s="4">
        <v>136435</v>
      </c>
      <c r="R992" s="4">
        <v>537716</v>
      </c>
      <c r="S992" s="5">
        <v>0.4</v>
      </c>
      <c r="T992" s="4">
        <v>215086</v>
      </c>
      <c r="U992" s="4">
        <v>752802</v>
      </c>
      <c r="V992" s="6">
        <f t="shared" si="30"/>
        <v>20325.654000000002</v>
      </c>
      <c r="W992" s="6">
        <f t="shared" si="31"/>
        <v>732476.34600000002</v>
      </c>
    </row>
    <row r="993" spans="1:23" x14ac:dyDescent="0.3">
      <c r="A993" s="2" t="s">
        <v>21</v>
      </c>
      <c r="B993" s="2">
        <v>5.0019999999999998</v>
      </c>
      <c r="C993" s="2">
        <v>2000598869</v>
      </c>
      <c r="D993" s="2">
        <v>29.9</v>
      </c>
      <c r="E993" s="2"/>
      <c r="F993" s="2">
        <v>225</v>
      </c>
      <c r="G993" s="2">
        <v>900</v>
      </c>
      <c r="H993" s="2"/>
      <c r="I993" s="2"/>
      <c r="J993" s="3">
        <f>IF(A993="Upgrade",IF(OR(H993=4,H993=5),VLOOKUP(I993,'Renewal Rates'!$A$22:$B$27,2,FALSE),2.7%),IF(A993="Renewal",100%,0%))</f>
        <v>2.7000000000000003E-2</v>
      </c>
      <c r="K993" s="2" t="s">
        <v>22</v>
      </c>
      <c r="L993" s="2">
        <v>387</v>
      </c>
      <c r="M993" s="2" t="s">
        <v>23</v>
      </c>
      <c r="N993" s="2" t="s">
        <v>24</v>
      </c>
      <c r="O993" s="4">
        <v>170476</v>
      </c>
      <c r="P993" s="4">
        <v>5696</v>
      </c>
      <c r="Q993" s="4">
        <v>57962</v>
      </c>
      <c r="R993" s="4">
        <v>228438</v>
      </c>
      <c r="S993" s="5">
        <v>0.4</v>
      </c>
      <c r="T993" s="4">
        <v>91375</v>
      </c>
      <c r="U993" s="4">
        <v>319813</v>
      </c>
      <c r="V993" s="6">
        <f t="shared" si="30"/>
        <v>8634.9510000000009</v>
      </c>
      <c r="W993" s="6">
        <f t="shared" si="31"/>
        <v>311178.049</v>
      </c>
    </row>
    <row r="994" spans="1:23" x14ac:dyDescent="0.3">
      <c r="A994" s="2" t="s">
        <v>21</v>
      </c>
      <c r="B994" s="2">
        <v>5.0019999999999998</v>
      </c>
      <c r="C994" s="2">
        <v>2000741797</v>
      </c>
      <c r="D994" s="2">
        <v>67.3</v>
      </c>
      <c r="E994" s="2"/>
      <c r="F994" s="2">
        <v>225</v>
      </c>
      <c r="G994" s="2">
        <v>900</v>
      </c>
      <c r="H994" s="2"/>
      <c r="I994" s="2"/>
      <c r="J994" s="3">
        <f>IF(A994="Upgrade",IF(OR(H994=4,H994=5),VLOOKUP(I994,'Renewal Rates'!$A$22:$B$27,2,FALSE),2.7%),IF(A994="Renewal",100%,0%))</f>
        <v>2.7000000000000003E-2</v>
      </c>
      <c r="K994" s="2" t="s">
        <v>22</v>
      </c>
      <c r="L994" s="2">
        <v>387</v>
      </c>
      <c r="M994" s="2" t="s">
        <v>23</v>
      </c>
      <c r="N994" s="2" t="s">
        <v>24</v>
      </c>
      <c r="O994" s="4">
        <v>370681</v>
      </c>
      <c r="P994" s="4">
        <v>5504</v>
      </c>
      <c r="Q994" s="4">
        <v>126031</v>
      </c>
      <c r="R994" s="4">
        <v>496712</v>
      </c>
      <c r="S994" s="5">
        <v>0.4</v>
      </c>
      <c r="T994" s="4">
        <v>198685</v>
      </c>
      <c r="U994" s="4">
        <v>695397</v>
      </c>
      <c r="V994" s="6">
        <f t="shared" si="30"/>
        <v>18775.719000000001</v>
      </c>
      <c r="W994" s="6">
        <f t="shared" si="31"/>
        <v>676621.28099999996</v>
      </c>
    </row>
    <row r="995" spans="1:23" x14ac:dyDescent="0.3">
      <c r="A995" s="2" t="s">
        <v>21</v>
      </c>
      <c r="B995" s="2">
        <v>5.008</v>
      </c>
      <c r="C995" s="2">
        <v>2000904239</v>
      </c>
      <c r="D995" s="2">
        <v>67.3</v>
      </c>
      <c r="E995" s="2"/>
      <c r="F995" s="2">
        <v>225</v>
      </c>
      <c r="G995" s="2">
        <v>750</v>
      </c>
      <c r="H995" s="2"/>
      <c r="I995" s="2"/>
      <c r="J995" s="3">
        <f>IF(A995="Upgrade",IF(OR(H995=4,H995=5),VLOOKUP(I995,'Renewal Rates'!$A$22:$B$27,2,FALSE),2.7%),IF(A995="Renewal",100%,0%))</f>
        <v>2.7000000000000003E-2</v>
      </c>
      <c r="K995" s="2" t="s">
        <v>22</v>
      </c>
      <c r="L995" s="2">
        <v>387</v>
      </c>
      <c r="M995" s="2" t="s">
        <v>23</v>
      </c>
      <c r="N995" s="2" t="s">
        <v>24</v>
      </c>
      <c r="O995" s="4">
        <v>301647</v>
      </c>
      <c r="P995" s="4">
        <v>4480</v>
      </c>
      <c r="Q995" s="4">
        <v>102560</v>
      </c>
      <c r="R995" s="4">
        <v>404207</v>
      </c>
      <c r="S995" s="5">
        <v>0.4</v>
      </c>
      <c r="T995" s="4">
        <v>161683</v>
      </c>
      <c r="U995" s="4">
        <v>565890</v>
      </c>
      <c r="V995" s="6">
        <f t="shared" si="30"/>
        <v>15279.030000000002</v>
      </c>
      <c r="W995" s="6">
        <f t="shared" si="31"/>
        <v>550610.97</v>
      </c>
    </row>
    <row r="996" spans="1:23" x14ac:dyDescent="0.3">
      <c r="A996" s="2" t="s">
        <v>21</v>
      </c>
      <c r="B996" s="2">
        <v>5.008</v>
      </c>
      <c r="C996" s="2">
        <v>2000595354</v>
      </c>
      <c r="D996" s="2">
        <v>38</v>
      </c>
      <c r="E996" s="2"/>
      <c r="F996" s="2">
        <v>225</v>
      </c>
      <c r="G996" s="2">
        <v>750</v>
      </c>
      <c r="H996" s="2">
        <v>4</v>
      </c>
      <c r="I996" s="2">
        <v>2</v>
      </c>
      <c r="J996" s="3">
        <f>IF(A996="Upgrade",IF(OR(H996=4,H996=5),VLOOKUP(I996,'Renewal Rates'!$A$22:$B$27,2,FALSE),2.7%),IF(A996="Renewal",100%,0%))</f>
        <v>0</v>
      </c>
      <c r="K996" s="2" t="s">
        <v>22</v>
      </c>
      <c r="L996" s="2">
        <v>387</v>
      </c>
      <c r="M996" s="2" t="s">
        <v>23</v>
      </c>
      <c r="N996" s="2" t="s">
        <v>24</v>
      </c>
      <c r="O996" s="4">
        <v>178981</v>
      </c>
      <c r="P996" s="4">
        <v>4709</v>
      </c>
      <c r="Q996" s="4">
        <v>60853</v>
      </c>
      <c r="R996" s="4">
        <v>239834</v>
      </c>
      <c r="S996" s="5">
        <v>0.4</v>
      </c>
      <c r="T996" s="4">
        <v>95934</v>
      </c>
      <c r="U996" s="4">
        <v>335768</v>
      </c>
      <c r="V996" s="6">
        <f t="shared" si="30"/>
        <v>0</v>
      </c>
      <c r="W996" s="6">
        <f t="shared" si="31"/>
        <v>335768</v>
      </c>
    </row>
    <row r="997" spans="1:23" x14ac:dyDescent="0.3">
      <c r="A997" s="2" t="s">
        <v>21</v>
      </c>
      <c r="B997" s="2">
        <v>5.008</v>
      </c>
      <c r="C997" s="2">
        <v>2000497054</v>
      </c>
      <c r="D997" s="2">
        <v>8.3000000000000007</v>
      </c>
      <c r="E997" s="2"/>
      <c r="F997" s="2">
        <v>300</v>
      </c>
      <c r="G997" s="2">
        <v>750</v>
      </c>
      <c r="H997" s="2"/>
      <c r="I997" s="2"/>
      <c r="J997" s="3">
        <f>IF(A997="Upgrade",IF(OR(H997=4,H997=5),VLOOKUP(I997,'Renewal Rates'!$A$22:$B$27,2,FALSE),2.7%),IF(A997="Renewal",100%,0%))</f>
        <v>2.7000000000000003E-2</v>
      </c>
      <c r="K997" s="2" t="s">
        <v>22</v>
      </c>
      <c r="L997" s="2">
        <v>387</v>
      </c>
      <c r="M997" s="2" t="s">
        <v>23</v>
      </c>
      <c r="N997" s="2" t="s">
        <v>24</v>
      </c>
      <c r="O997" s="4">
        <v>60876</v>
      </c>
      <c r="P997" s="4">
        <v>7306</v>
      </c>
      <c r="Q997" s="4">
        <v>20698</v>
      </c>
      <c r="R997" s="4">
        <v>81574</v>
      </c>
      <c r="S997" s="5">
        <v>0.4</v>
      </c>
      <c r="T997" s="4">
        <v>32630</v>
      </c>
      <c r="U997" s="4">
        <v>114203</v>
      </c>
      <c r="V997" s="6">
        <f t="shared" si="30"/>
        <v>3083.4810000000002</v>
      </c>
      <c r="W997" s="6">
        <f t="shared" si="31"/>
        <v>111119.519</v>
      </c>
    </row>
    <row r="998" spans="1:23" x14ac:dyDescent="0.3">
      <c r="A998" s="2" t="s">
        <v>21</v>
      </c>
      <c r="B998" s="2">
        <v>5.008</v>
      </c>
      <c r="C998" s="2">
        <v>2000494846</v>
      </c>
      <c r="D998" s="2">
        <v>16.100000000000001</v>
      </c>
      <c r="E998" s="2"/>
      <c r="F998" s="2">
        <v>450</v>
      </c>
      <c r="G998" s="2">
        <v>750</v>
      </c>
      <c r="H998" s="2">
        <v>4</v>
      </c>
      <c r="I998" s="2" t="s">
        <v>27</v>
      </c>
      <c r="J998" s="3">
        <f>IF(A998="Upgrade",IF(OR(H998=4,H998=5),VLOOKUP(I998,'Renewal Rates'!$A$22:$B$27,2,FALSE),2.7%),IF(A998="Renewal",100%,0%))</f>
        <v>0.116578</v>
      </c>
      <c r="K998" s="2" t="s">
        <v>22</v>
      </c>
      <c r="L998" s="2">
        <v>387</v>
      </c>
      <c r="M998" s="2" t="s">
        <v>23</v>
      </c>
      <c r="N998" s="2" t="s">
        <v>24</v>
      </c>
      <c r="O998" s="4">
        <v>90813</v>
      </c>
      <c r="P998" s="4">
        <v>5657</v>
      </c>
      <c r="Q998" s="4">
        <v>30876</v>
      </c>
      <c r="R998" s="4">
        <v>121689</v>
      </c>
      <c r="S998" s="5">
        <v>0.4</v>
      </c>
      <c r="T998" s="4">
        <v>48676</v>
      </c>
      <c r="U998" s="4">
        <v>170364</v>
      </c>
      <c r="V998" s="6">
        <f t="shared" si="30"/>
        <v>19860.694392000001</v>
      </c>
      <c r="W998" s="6">
        <f t="shared" si="31"/>
        <v>150503.305608</v>
      </c>
    </row>
    <row r="999" spans="1:23" x14ac:dyDescent="0.3">
      <c r="A999" s="2" t="s">
        <v>21</v>
      </c>
      <c r="B999" s="2">
        <v>5.008</v>
      </c>
      <c r="C999" s="2">
        <v>2000488050</v>
      </c>
      <c r="D999" s="2">
        <v>11.1</v>
      </c>
      <c r="E999" s="2"/>
      <c r="F999" s="2">
        <v>450</v>
      </c>
      <c r="G999" s="2">
        <v>750</v>
      </c>
      <c r="H999" s="2"/>
      <c r="I999" s="2"/>
      <c r="J999" s="3">
        <f>IF(A999="Upgrade",IF(OR(H999=4,H999=5),VLOOKUP(I999,'Renewal Rates'!$A$22:$B$27,2,FALSE),2.7%),IF(A999="Renewal",100%,0%))</f>
        <v>2.7000000000000003E-2</v>
      </c>
      <c r="K999" s="2" t="s">
        <v>22</v>
      </c>
      <c r="L999" s="2">
        <v>387</v>
      </c>
      <c r="M999" s="2" t="s">
        <v>23</v>
      </c>
      <c r="N999" s="2" t="s">
        <v>24</v>
      </c>
      <c r="O999" s="4">
        <v>84057</v>
      </c>
      <c r="P999" s="4">
        <v>7583</v>
      </c>
      <c r="Q999" s="4">
        <v>28579</v>
      </c>
      <c r="R999" s="4">
        <v>112636</v>
      </c>
      <c r="S999" s="5">
        <v>0.4</v>
      </c>
      <c r="T999" s="4">
        <v>45054</v>
      </c>
      <c r="U999" s="4">
        <v>157690</v>
      </c>
      <c r="V999" s="6">
        <f t="shared" si="30"/>
        <v>4257.63</v>
      </c>
      <c r="W999" s="6">
        <f t="shared" si="31"/>
        <v>153432.37</v>
      </c>
    </row>
    <row r="1000" spans="1:23" x14ac:dyDescent="0.3">
      <c r="A1000" s="2" t="s">
        <v>21</v>
      </c>
      <c r="B1000" s="2">
        <v>5.008</v>
      </c>
      <c r="C1000" s="2">
        <v>2000085776</v>
      </c>
      <c r="D1000" s="2">
        <v>6.3</v>
      </c>
      <c r="E1000" s="2"/>
      <c r="F1000" s="2">
        <v>300</v>
      </c>
      <c r="G1000" s="2">
        <v>750</v>
      </c>
      <c r="H1000" s="2">
        <v>5</v>
      </c>
      <c r="I1000" s="2" t="s">
        <v>27</v>
      </c>
      <c r="J1000" s="3">
        <f>IF(A1000="Upgrade",IF(OR(H1000=4,H1000=5),VLOOKUP(I1000,'Renewal Rates'!$A$22:$B$27,2,FALSE),2.7%),IF(A1000="Renewal",100%,0%))</f>
        <v>0.116578</v>
      </c>
      <c r="K1000" s="2" t="s">
        <v>22</v>
      </c>
      <c r="L1000" s="2">
        <v>387</v>
      </c>
      <c r="M1000" s="2" t="s">
        <v>23</v>
      </c>
      <c r="N1000" s="2" t="s">
        <v>24</v>
      </c>
      <c r="O1000" s="4">
        <v>58142</v>
      </c>
      <c r="P1000" s="4">
        <v>9198</v>
      </c>
      <c r="Q1000" s="4">
        <v>19768</v>
      </c>
      <c r="R1000" s="4">
        <v>77910</v>
      </c>
      <c r="S1000" s="5">
        <v>0.4</v>
      </c>
      <c r="T1000" s="4">
        <v>31164</v>
      </c>
      <c r="U1000" s="4">
        <v>109074</v>
      </c>
      <c r="V1000" s="6">
        <f t="shared" si="30"/>
        <v>12715.628772</v>
      </c>
      <c r="W1000" s="6">
        <f t="shared" si="31"/>
        <v>96358.371228000004</v>
      </c>
    </row>
    <row r="1001" spans="1:23" x14ac:dyDescent="0.3">
      <c r="A1001" s="2" t="s">
        <v>21</v>
      </c>
      <c r="B1001" s="2">
        <v>5.008</v>
      </c>
      <c r="C1001" s="2">
        <v>2000540221</v>
      </c>
      <c r="D1001" s="2">
        <v>19.100000000000001</v>
      </c>
      <c r="E1001" s="2"/>
      <c r="F1001" s="2">
        <v>300</v>
      </c>
      <c r="G1001" s="2">
        <v>750</v>
      </c>
      <c r="H1001" s="2"/>
      <c r="I1001" s="2"/>
      <c r="J1001" s="3">
        <f>IF(A1001="Upgrade",IF(OR(H1001=4,H1001=5),VLOOKUP(I1001,'Renewal Rates'!$A$22:$B$27,2,FALSE),2.7%),IF(A1001="Renewal",100%,0%))</f>
        <v>2.7000000000000003E-2</v>
      </c>
      <c r="K1001" s="2" t="s">
        <v>22</v>
      </c>
      <c r="L1001" s="2">
        <v>387</v>
      </c>
      <c r="M1001" s="2" t="s">
        <v>23</v>
      </c>
      <c r="N1001" s="2" t="s">
        <v>24</v>
      </c>
      <c r="O1001" s="4">
        <v>114331</v>
      </c>
      <c r="P1001" s="4">
        <v>6000</v>
      </c>
      <c r="Q1001" s="4">
        <v>38872</v>
      </c>
      <c r="R1001" s="4">
        <v>153203</v>
      </c>
      <c r="S1001" s="5">
        <v>0.4</v>
      </c>
      <c r="T1001" s="4">
        <v>61281</v>
      </c>
      <c r="U1001" s="4">
        <v>214484</v>
      </c>
      <c r="V1001" s="6">
        <f t="shared" si="30"/>
        <v>5791.0680000000011</v>
      </c>
      <c r="W1001" s="6">
        <f t="shared" si="31"/>
        <v>208692.932</v>
      </c>
    </row>
    <row r="1002" spans="1:23" x14ac:dyDescent="0.3">
      <c r="A1002" s="2" t="s">
        <v>25</v>
      </c>
      <c r="B1002" s="2">
        <v>3.0009999999999999</v>
      </c>
      <c r="C1002" s="2"/>
      <c r="D1002" s="2"/>
      <c r="E1002" s="2">
        <v>117.8</v>
      </c>
      <c r="F1002" s="2"/>
      <c r="G1002" s="2">
        <v>675</v>
      </c>
      <c r="H1002" s="2"/>
      <c r="I1002" s="2"/>
      <c r="J1002" s="3">
        <f>IF(A1002="Upgrade",IF(OR(H1002=4,H1002=5),VLOOKUP(I1002,'Renewal Rates'!$A$22:$B$27,2,FALSE),2.7%),IF(A1002="Renewal",100%,0%))</f>
        <v>0</v>
      </c>
      <c r="K1002" s="2" t="s">
        <v>22</v>
      </c>
      <c r="L1002" s="2">
        <v>386</v>
      </c>
      <c r="M1002" s="2" t="s">
        <v>23</v>
      </c>
      <c r="N1002" s="2" t="s">
        <v>24</v>
      </c>
      <c r="O1002" s="4">
        <v>454662</v>
      </c>
      <c r="P1002" s="4">
        <v>3860</v>
      </c>
      <c r="Q1002" s="4">
        <v>154585</v>
      </c>
      <c r="R1002" s="4">
        <v>609247</v>
      </c>
      <c r="S1002" s="5">
        <v>0.4</v>
      </c>
      <c r="T1002" s="4">
        <v>243699</v>
      </c>
      <c r="U1002" s="4">
        <v>852945</v>
      </c>
      <c r="V1002" s="6">
        <f t="shared" si="30"/>
        <v>0</v>
      </c>
    </row>
    <row r="1003" spans="1:23" x14ac:dyDescent="0.3">
      <c r="A1003" s="2" t="s">
        <v>25</v>
      </c>
      <c r="B1003" s="2">
        <v>5.0010000000000003</v>
      </c>
      <c r="C1003" s="2"/>
      <c r="D1003" s="2"/>
      <c r="E1003" s="2">
        <v>97.5</v>
      </c>
      <c r="F1003" s="2"/>
      <c r="G1003" s="2">
        <v>450</v>
      </c>
      <c r="H1003" s="2"/>
      <c r="I1003" s="2"/>
      <c r="J1003" s="3">
        <f>IF(A1003="Upgrade",IF(OR(H1003=4,H1003=5),VLOOKUP(I1003,'Renewal Rates'!$A$22:$B$27,2,FALSE),2.7%),IF(A1003="Renewal",100%,0%))</f>
        <v>0</v>
      </c>
      <c r="K1003" s="2" t="s">
        <v>55</v>
      </c>
      <c r="L1003" s="2">
        <v>387</v>
      </c>
      <c r="M1003" s="2" t="s">
        <v>23</v>
      </c>
      <c r="N1003" s="2" t="s">
        <v>24</v>
      </c>
      <c r="O1003" s="4">
        <v>266200</v>
      </c>
      <c r="P1003" s="4">
        <v>2731</v>
      </c>
      <c r="Q1003" s="4">
        <v>90508</v>
      </c>
      <c r="R1003" s="4">
        <v>356708</v>
      </c>
      <c r="S1003" s="5">
        <v>0.4</v>
      </c>
      <c r="T1003" s="4">
        <v>142683</v>
      </c>
      <c r="U1003" s="4">
        <v>499391</v>
      </c>
      <c r="V1003" s="6">
        <f t="shared" si="30"/>
        <v>0</v>
      </c>
    </row>
    <row r="1004" spans="1:23" x14ac:dyDescent="0.3">
      <c r="A1004" s="2" t="s">
        <v>21</v>
      </c>
      <c r="B1004" s="2">
        <v>3.0430000000000001</v>
      </c>
      <c r="C1004" s="2">
        <v>2000778511</v>
      </c>
      <c r="D1004" s="2">
        <v>69.7</v>
      </c>
      <c r="E1004" s="2"/>
      <c r="F1004" s="2">
        <v>450</v>
      </c>
      <c r="G1004" s="2">
        <v>675</v>
      </c>
      <c r="H1004" s="2"/>
      <c r="I1004" s="2"/>
      <c r="J1004" s="3">
        <f>IF(A1004="Upgrade",IF(OR(H1004=4,H1004=5),VLOOKUP(I1004,'Renewal Rates'!$A$22:$B$27,2,FALSE),2.7%),IF(A1004="Renewal",100%,0%))</f>
        <v>2.7000000000000003E-2</v>
      </c>
      <c r="K1004" s="2" t="s">
        <v>55</v>
      </c>
      <c r="L1004" s="2">
        <v>387</v>
      </c>
      <c r="M1004" s="2" t="s">
        <v>23</v>
      </c>
      <c r="N1004" s="2" t="s">
        <v>24</v>
      </c>
      <c r="O1004" s="4">
        <v>298436</v>
      </c>
      <c r="P1004" s="4">
        <v>4279</v>
      </c>
      <c r="Q1004" s="4">
        <v>101468</v>
      </c>
      <c r="R1004" s="4">
        <v>399905</v>
      </c>
      <c r="S1004" s="5">
        <v>0.4</v>
      </c>
      <c r="T1004" s="4">
        <v>159962</v>
      </c>
      <c r="U1004" s="4">
        <v>559867</v>
      </c>
      <c r="V1004" s="6">
        <f t="shared" si="30"/>
        <v>15116.409000000001</v>
      </c>
      <c r="W1004" s="6">
        <f t="shared" ref="W1004:W1007" si="32">U1004-V1004</f>
        <v>544750.59100000001</v>
      </c>
    </row>
    <row r="1005" spans="1:23" x14ac:dyDescent="0.3">
      <c r="A1005" s="2" t="s">
        <v>21</v>
      </c>
      <c r="B1005" s="2">
        <v>3.0430000000000001</v>
      </c>
      <c r="C1005" s="2">
        <v>2000137853</v>
      </c>
      <c r="D1005" s="2">
        <v>6.8</v>
      </c>
      <c r="E1005" s="2"/>
      <c r="F1005" s="2">
        <v>450</v>
      </c>
      <c r="G1005" s="2">
        <v>675</v>
      </c>
      <c r="H1005" s="2"/>
      <c r="I1005" s="2"/>
      <c r="J1005" s="3">
        <f>IF(A1005="Upgrade",IF(OR(H1005=4,H1005=5),VLOOKUP(I1005,'Renewal Rates'!$A$22:$B$27,2,FALSE),2.7%),IF(A1005="Renewal",100%,0%))</f>
        <v>2.7000000000000003E-2</v>
      </c>
      <c r="K1005" s="2" t="s">
        <v>55</v>
      </c>
      <c r="L1005" s="2">
        <v>387</v>
      </c>
      <c r="M1005" s="2" t="s">
        <v>23</v>
      </c>
      <c r="N1005" s="2" t="s">
        <v>24</v>
      </c>
      <c r="O1005" s="4">
        <v>56306</v>
      </c>
      <c r="P1005" s="4">
        <v>10705</v>
      </c>
      <c r="Q1005" s="4">
        <v>19144</v>
      </c>
      <c r="R1005" s="4">
        <v>75450</v>
      </c>
      <c r="S1005" s="5">
        <v>0.4</v>
      </c>
      <c r="T1005" s="4">
        <v>30180</v>
      </c>
      <c r="U1005" s="4">
        <v>105631</v>
      </c>
      <c r="V1005" s="6">
        <f t="shared" si="30"/>
        <v>2852.0370000000003</v>
      </c>
      <c r="W1005" s="6">
        <f t="shared" si="32"/>
        <v>102778.963</v>
      </c>
    </row>
    <row r="1006" spans="1:23" x14ac:dyDescent="0.3">
      <c r="A1006" s="2" t="s">
        <v>21</v>
      </c>
      <c r="B1006" s="2">
        <v>3.0430000000000001</v>
      </c>
      <c r="C1006" s="2">
        <v>2000869637</v>
      </c>
      <c r="D1006" s="2">
        <v>5.3</v>
      </c>
      <c r="E1006" s="2"/>
      <c r="F1006" s="2">
        <v>450</v>
      </c>
      <c r="G1006" s="2">
        <v>675</v>
      </c>
      <c r="H1006" s="2"/>
      <c r="I1006" s="2"/>
      <c r="J1006" s="3">
        <f>IF(A1006="Upgrade",IF(OR(H1006=4,H1006=5),VLOOKUP(I1006,'Renewal Rates'!$A$22:$B$27,2,FALSE),2.7%),IF(A1006="Renewal",100%,0%))</f>
        <v>2.7000000000000003E-2</v>
      </c>
      <c r="K1006" s="2" t="s">
        <v>55</v>
      </c>
      <c r="L1006" s="2">
        <v>387</v>
      </c>
      <c r="M1006" s="2" t="s">
        <v>23</v>
      </c>
      <c r="N1006" s="2" t="s">
        <v>24</v>
      </c>
      <c r="O1006" s="4">
        <v>56306</v>
      </c>
      <c r="P1006" s="4">
        <v>10705</v>
      </c>
      <c r="Q1006" s="4">
        <v>19144</v>
      </c>
      <c r="R1006" s="4">
        <v>75450</v>
      </c>
      <c r="S1006" s="5">
        <v>0.4</v>
      </c>
      <c r="T1006" s="4">
        <v>30180</v>
      </c>
      <c r="U1006" s="4">
        <v>105631</v>
      </c>
      <c r="V1006" s="6">
        <f t="shared" si="30"/>
        <v>2852.0370000000003</v>
      </c>
      <c r="W1006" s="6">
        <f t="shared" si="32"/>
        <v>102778.963</v>
      </c>
    </row>
    <row r="1007" spans="1:23" x14ac:dyDescent="0.3">
      <c r="A1007" s="2" t="s">
        <v>21</v>
      </c>
      <c r="B1007" s="2">
        <v>3.0430000000000001</v>
      </c>
      <c r="C1007" s="2">
        <v>2000397128</v>
      </c>
      <c r="D1007" s="2">
        <v>49.6</v>
      </c>
      <c r="E1007" s="2"/>
      <c r="F1007" s="2">
        <v>300</v>
      </c>
      <c r="G1007" s="2">
        <v>675</v>
      </c>
      <c r="H1007" s="2"/>
      <c r="I1007" s="2"/>
      <c r="J1007" s="3">
        <f>IF(A1007="Upgrade",IF(OR(H1007=4,H1007=5),VLOOKUP(I1007,'Renewal Rates'!$A$22:$B$27,2,FALSE),2.7%),IF(A1007="Renewal",100%,0%))</f>
        <v>2.7000000000000003E-2</v>
      </c>
      <c r="K1007" s="2" t="s">
        <v>22</v>
      </c>
      <c r="L1007" s="2">
        <v>387</v>
      </c>
      <c r="M1007" s="2" t="s">
        <v>23</v>
      </c>
      <c r="N1007" s="2" t="s">
        <v>24</v>
      </c>
      <c r="O1007" s="4">
        <v>58187</v>
      </c>
      <c r="P1007" s="4">
        <v>8517</v>
      </c>
      <c r="Q1007" s="4">
        <v>19784</v>
      </c>
      <c r="R1007" s="4">
        <v>77970</v>
      </c>
      <c r="S1007" s="5">
        <v>0.4</v>
      </c>
      <c r="T1007" s="4">
        <v>31188</v>
      </c>
      <c r="U1007" s="4">
        <v>109158</v>
      </c>
      <c r="V1007" s="6">
        <f t="shared" si="30"/>
        <v>2947.2660000000005</v>
      </c>
      <c r="W1007" s="6">
        <f t="shared" si="32"/>
        <v>106210.734</v>
      </c>
    </row>
    <row r="1008" spans="1:23" x14ac:dyDescent="0.3">
      <c r="A1008" s="2" t="s">
        <v>25</v>
      </c>
      <c r="B1008" s="2">
        <v>3.02</v>
      </c>
      <c r="C1008" s="2"/>
      <c r="D1008" s="2"/>
      <c r="E1008" s="2">
        <v>76.400000000000006</v>
      </c>
      <c r="F1008" s="2"/>
      <c r="G1008" s="2">
        <v>450</v>
      </c>
      <c r="H1008" s="2"/>
      <c r="I1008" s="2"/>
      <c r="J1008" s="3">
        <f>IF(A1008="Upgrade",IF(OR(H1008=4,H1008=5),VLOOKUP(I1008,'Renewal Rates'!$A$22:$B$27,2,FALSE),2.7%),IF(A1008="Renewal",100%,0%))</f>
        <v>0</v>
      </c>
      <c r="K1008" s="2" t="s">
        <v>22</v>
      </c>
      <c r="L1008" s="2">
        <v>387</v>
      </c>
      <c r="M1008" s="2" t="s">
        <v>23</v>
      </c>
      <c r="N1008" s="2" t="s">
        <v>24</v>
      </c>
      <c r="O1008" s="4">
        <v>138029</v>
      </c>
      <c r="P1008" s="4">
        <v>2785</v>
      </c>
      <c r="Q1008" s="4">
        <v>46930</v>
      </c>
      <c r="R1008" s="4">
        <v>184959</v>
      </c>
      <c r="S1008" s="5">
        <v>0.4</v>
      </c>
      <c r="T1008" s="4">
        <v>73984</v>
      </c>
      <c r="U1008" s="4">
        <v>258942</v>
      </c>
      <c r="V1008" s="6">
        <f t="shared" si="30"/>
        <v>0</v>
      </c>
    </row>
    <row r="1009" spans="1:23" x14ac:dyDescent="0.3">
      <c r="A1009" s="2" t="s">
        <v>25</v>
      </c>
      <c r="B1009" s="2">
        <v>5.0069999999999997</v>
      </c>
      <c r="C1009" s="2"/>
      <c r="D1009" s="2"/>
      <c r="E1009" s="2">
        <v>90.1</v>
      </c>
      <c r="F1009" s="2"/>
      <c r="G1009" s="2">
        <v>600</v>
      </c>
      <c r="H1009" s="2"/>
      <c r="I1009" s="2"/>
      <c r="J1009" s="3">
        <f>IF(A1009="Upgrade",IF(OR(H1009=4,H1009=5),VLOOKUP(I1009,'Renewal Rates'!$A$22:$B$27,2,FALSE),2.7%),IF(A1009="Renewal",100%,0%))</f>
        <v>0</v>
      </c>
      <c r="K1009" s="2" t="s">
        <v>22</v>
      </c>
      <c r="L1009" s="2">
        <v>387</v>
      </c>
      <c r="M1009" s="2" t="s">
        <v>23</v>
      </c>
      <c r="N1009" s="2" t="s">
        <v>24</v>
      </c>
      <c r="O1009" s="4">
        <v>291063</v>
      </c>
      <c r="P1009" s="4">
        <v>3232</v>
      </c>
      <c r="Q1009" s="4">
        <v>98961</v>
      </c>
      <c r="R1009" s="4">
        <v>390025</v>
      </c>
      <c r="S1009" s="5">
        <v>0.4</v>
      </c>
      <c r="T1009" s="4">
        <v>156010</v>
      </c>
      <c r="U1009" s="4">
        <v>546035</v>
      </c>
      <c r="V1009" s="6">
        <f t="shared" si="30"/>
        <v>0</v>
      </c>
    </row>
    <row r="1010" spans="1:23" x14ac:dyDescent="0.3">
      <c r="A1010" s="2" t="s">
        <v>25</v>
      </c>
      <c r="B1010" s="2">
        <v>6.0049999999999999</v>
      </c>
      <c r="C1010" s="2"/>
      <c r="D1010" s="2"/>
      <c r="E1010" s="2">
        <v>93.7</v>
      </c>
      <c r="F1010" s="2"/>
      <c r="G1010" s="2">
        <v>600</v>
      </c>
      <c r="H1010" s="2"/>
      <c r="I1010" s="2"/>
      <c r="J1010" s="3">
        <f>IF(A1010="Upgrade",IF(OR(H1010=4,H1010=5),VLOOKUP(I1010,'Renewal Rates'!$A$22:$B$27,2,FALSE),2.7%),IF(A1010="Renewal",100%,0%))</f>
        <v>0</v>
      </c>
      <c r="K1010" s="2" t="s">
        <v>22</v>
      </c>
      <c r="L1010" s="2">
        <v>387</v>
      </c>
      <c r="M1010" s="2" t="s">
        <v>23</v>
      </c>
      <c r="N1010" s="2" t="s">
        <v>24</v>
      </c>
      <c r="O1010" s="4">
        <v>330685</v>
      </c>
      <c r="P1010" s="4">
        <v>3528</v>
      </c>
      <c r="Q1010" s="4">
        <v>112433</v>
      </c>
      <c r="R1010" s="4">
        <v>443117</v>
      </c>
      <c r="S1010" s="5">
        <v>0.4</v>
      </c>
      <c r="T1010" s="4">
        <v>177247</v>
      </c>
      <c r="U1010" s="4">
        <v>620364</v>
      </c>
      <c r="V1010" s="6">
        <f t="shared" si="30"/>
        <v>0</v>
      </c>
    </row>
    <row r="1011" spans="1:23" x14ac:dyDescent="0.3">
      <c r="A1011" s="2" t="s">
        <v>21</v>
      </c>
      <c r="B1011" s="2">
        <v>6.01</v>
      </c>
      <c r="C1011" s="2">
        <v>2000965068</v>
      </c>
      <c r="D1011" s="2">
        <v>9.9</v>
      </c>
      <c r="E1011" s="2"/>
      <c r="F1011" s="2">
        <v>450</v>
      </c>
      <c r="G1011" s="2">
        <v>1050</v>
      </c>
      <c r="H1011" s="2"/>
      <c r="I1011" s="2"/>
      <c r="J1011" s="3">
        <f>IF(A1011="Upgrade",IF(OR(H1011=4,H1011=5),VLOOKUP(I1011,'Renewal Rates'!$A$22:$B$27,2,FALSE),2.7%),IF(A1011="Renewal",100%,0%))</f>
        <v>2.7000000000000003E-2</v>
      </c>
      <c r="K1011" s="2" t="s">
        <v>22</v>
      </c>
      <c r="L1011" s="2">
        <v>387</v>
      </c>
      <c r="M1011" s="2" t="s">
        <v>23</v>
      </c>
      <c r="N1011" s="2" t="s">
        <v>24</v>
      </c>
      <c r="O1011" s="4">
        <v>148325</v>
      </c>
      <c r="P1011" s="4">
        <v>14921</v>
      </c>
      <c r="Q1011" s="4">
        <v>50430</v>
      </c>
      <c r="R1011" s="4">
        <v>198755</v>
      </c>
      <c r="S1011" s="5">
        <v>0.4</v>
      </c>
      <c r="T1011" s="4">
        <v>79502</v>
      </c>
      <c r="U1011" s="4">
        <v>278257</v>
      </c>
      <c r="V1011" s="6">
        <f t="shared" si="30"/>
        <v>7512.9390000000012</v>
      </c>
      <c r="W1011" s="6">
        <f t="shared" ref="W1011:W1033" si="33">U1011-V1011</f>
        <v>270744.06099999999</v>
      </c>
    </row>
    <row r="1012" spans="1:23" x14ac:dyDescent="0.3">
      <c r="A1012" s="2" t="s">
        <v>21</v>
      </c>
      <c r="B1012" s="2">
        <v>6.01</v>
      </c>
      <c r="C1012" s="2">
        <v>2000843285</v>
      </c>
      <c r="D1012" s="2">
        <v>39.299999999999997</v>
      </c>
      <c r="E1012" s="2"/>
      <c r="F1012" s="2">
        <v>450</v>
      </c>
      <c r="G1012" s="2">
        <v>1050</v>
      </c>
      <c r="H1012" s="2"/>
      <c r="I1012" s="2"/>
      <c r="J1012" s="3">
        <f>IF(A1012="Upgrade",IF(OR(H1012=4,H1012=5),VLOOKUP(I1012,'Renewal Rates'!$A$22:$B$27,2,FALSE),2.7%),IF(A1012="Renewal",100%,0%))</f>
        <v>2.7000000000000003E-2</v>
      </c>
      <c r="K1012" s="2" t="s">
        <v>22</v>
      </c>
      <c r="L1012" s="2">
        <v>387</v>
      </c>
      <c r="M1012" s="2" t="s">
        <v>23</v>
      </c>
      <c r="N1012" s="2" t="s">
        <v>24</v>
      </c>
      <c r="O1012" s="4">
        <v>259464</v>
      </c>
      <c r="P1012" s="4">
        <v>6602</v>
      </c>
      <c r="Q1012" s="4">
        <v>88218</v>
      </c>
      <c r="R1012" s="4">
        <v>347682</v>
      </c>
      <c r="S1012" s="5">
        <v>0.4</v>
      </c>
      <c r="T1012" s="4">
        <v>139073</v>
      </c>
      <c r="U1012" s="4">
        <v>486754</v>
      </c>
      <c r="V1012" s="6">
        <f t="shared" si="30"/>
        <v>13142.358000000002</v>
      </c>
      <c r="W1012" s="6">
        <f t="shared" si="33"/>
        <v>473611.64199999999</v>
      </c>
    </row>
    <row r="1013" spans="1:23" x14ac:dyDescent="0.3">
      <c r="A1013" s="2" t="s">
        <v>21</v>
      </c>
      <c r="B1013" s="2">
        <v>6.01</v>
      </c>
      <c r="C1013" s="2">
        <v>3000101115</v>
      </c>
      <c r="D1013" s="2">
        <v>35.700000000000003</v>
      </c>
      <c r="E1013" s="2"/>
      <c r="F1013" s="2">
        <v>225</v>
      </c>
      <c r="G1013" s="2">
        <v>1050</v>
      </c>
      <c r="H1013" s="2"/>
      <c r="I1013" s="2"/>
      <c r="J1013" s="3">
        <f>IF(A1013="Upgrade",IF(OR(H1013=4,H1013=5),VLOOKUP(I1013,'Renewal Rates'!$A$22:$B$27,2,FALSE),2.7%),IF(A1013="Renewal",100%,0%))</f>
        <v>2.7000000000000003E-2</v>
      </c>
      <c r="K1013" s="2" t="s">
        <v>22</v>
      </c>
      <c r="L1013" s="2">
        <v>387</v>
      </c>
      <c r="M1013" s="2" t="s">
        <v>23</v>
      </c>
      <c r="N1013" s="2" t="s">
        <v>24</v>
      </c>
      <c r="O1013" s="4">
        <v>252122</v>
      </c>
      <c r="P1013" s="4">
        <v>7067</v>
      </c>
      <c r="Q1013" s="4">
        <v>85721</v>
      </c>
      <c r="R1013" s="4">
        <v>337843</v>
      </c>
      <c r="S1013" s="5">
        <v>0.4</v>
      </c>
      <c r="T1013" s="4">
        <v>135137</v>
      </c>
      <c r="U1013" s="4">
        <v>472981</v>
      </c>
      <c r="V1013" s="6">
        <f t="shared" si="30"/>
        <v>12770.487000000001</v>
      </c>
      <c r="W1013" s="6">
        <f t="shared" si="33"/>
        <v>460210.51299999998</v>
      </c>
    </row>
    <row r="1014" spans="1:23" x14ac:dyDescent="0.3">
      <c r="A1014" s="2" t="s">
        <v>21</v>
      </c>
      <c r="B1014" s="2">
        <v>6.01</v>
      </c>
      <c r="C1014" s="2">
        <v>2000121353</v>
      </c>
      <c r="D1014" s="2">
        <v>69.5</v>
      </c>
      <c r="E1014" s="2"/>
      <c r="F1014" s="2">
        <v>375</v>
      </c>
      <c r="G1014" s="2">
        <v>1050</v>
      </c>
      <c r="H1014" s="2"/>
      <c r="I1014" s="2"/>
      <c r="J1014" s="3">
        <f>IF(A1014="Upgrade",IF(OR(H1014=4,H1014=5),VLOOKUP(I1014,'Renewal Rates'!$A$22:$B$27,2,FALSE),2.7%),IF(A1014="Renewal",100%,0%))</f>
        <v>2.7000000000000003E-2</v>
      </c>
      <c r="K1014" s="2" t="s">
        <v>22</v>
      </c>
      <c r="L1014" s="2">
        <v>387</v>
      </c>
      <c r="M1014" s="2" t="s">
        <v>23</v>
      </c>
      <c r="N1014" s="2" t="s">
        <v>24</v>
      </c>
      <c r="O1014" s="4">
        <v>472211</v>
      </c>
      <c r="P1014" s="4">
        <v>6794</v>
      </c>
      <c r="Q1014" s="4">
        <v>160552</v>
      </c>
      <c r="R1014" s="4">
        <v>632763</v>
      </c>
      <c r="S1014" s="5">
        <v>0.4</v>
      </c>
      <c r="T1014" s="4">
        <v>253105</v>
      </c>
      <c r="U1014" s="4">
        <v>885868</v>
      </c>
      <c r="V1014" s="6">
        <f t="shared" si="30"/>
        <v>23918.436000000002</v>
      </c>
      <c r="W1014" s="6">
        <f t="shared" si="33"/>
        <v>861949.56400000001</v>
      </c>
    </row>
    <row r="1015" spans="1:23" x14ac:dyDescent="0.3">
      <c r="A1015" s="2" t="s">
        <v>21</v>
      </c>
      <c r="B1015" s="2">
        <v>6.01</v>
      </c>
      <c r="C1015" s="2">
        <v>2000613418</v>
      </c>
      <c r="D1015" s="2">
        <v>5.4</v>
      </c>
      <c r="E1015" s="2"/>
      <c r="F1015" s="2">
        <v>450</v>
      </c>
      <c r="G1015" s="2">
        <v>1050</v>
      </c>
      <c r="H1015" s="2"/>
      <c r="I1015" s="2"/>
      <c r="J1015" s="3">
        <f>IF(A1015="Upgrade",IF(OR(H1015=4,H1015=5),VLOOKUP(I1015,'Renewal Rates'!$A$22:$B$27,2,FALSE),2.7%),IF(A1015="Renewal",100%,0%))</f>
        <v>2.7000000000000003E-2</v>
      </c>
      <c r="K1015" s="2" t="s">
        <v>22</v>
      </c>
      <c r="L1015" s="2">
        <v>387</v>
      </c>
      <c r="M1015" s="2" t="s">
        <v>23</v>
      </c>
      <c r="N1015" s="2" t="s">
        <v>24</v>
      </c>
      <c r="O1015" s="4">
        <v>77426</v>
      </c>
      <c r="P1015" s="4">
        <v>14373</v>
      </c>
      <c r="Q1015" s="4">
        <v>26325</v>
      </c>
      <c r="R1015" s="4">
        <v>103751</v>
      </c>
      <c r="S1015" s="5">
        <v>0.4</v>
      </c>
      <c r="T1015" s="4">
        <v>41501</v>
      </c>
      <c r="U1015" s="4">
        <v>145252</v>
      </c>
      <c r="V1015" s="6">
        <f t="shared" si="30"/>
        <v>3921.8040000000005</v>
      </c>
      <c r="W1015" s="6">
        <f t="shared" si="33"/>
        <v>141330.196</v>
      </c>
    </row>
    <row r="1016" spans="1:23" x14ac:dyDescent="0.3">
      <c r="A1016" s="2" t="s">
        <v>21</v>
      </c>
      <c r="B1016" s="2">
        <v>6.01</v>
      </c>
      <c r="C1016" s="2">
        <v>2000597595</v>
      </c>
      <c r="D1016" s="2">
        <v>47.4</v>
      </c>
      <c r="E1016" s="2"/>
      <c r="F1016" s="2">
        <v>450</v>
      </c>
      <c r="G1016" s="2">
        <v>1050</v>
      </c>
      <c r="H1016" s="2"/>
      <c r="I1016" s="2"/>
      <c r="J1016" s="3">
        <f>IF(A1016="Upgrade",IF(OR(H1016=4,H1016=5),VLOOKUP(I1016,'Renewal Rates'!$A$22:$B$27,2,FALSE),2.7%),IF(A1016="Renewal",100%,0%))</f>
        <v>2.7000000000000003E-2</v>
      </c>
      <c r="K1016" s="2" t="s">
        <v>22</v>
      </c>
      <c r="L1016" s="2">
        <v>387</v>
      </c>
      <c r="M1016" s="2" t="s">
        <v>23</v>
      </c>
      <c r="N1016" s="2" t="s">
        <v>24</v>
      </c>
      <c r="O1016" s="4">
        <v>321302</v>
      </c>
      <c r="P1016" s="4">
        <v>6772</v>
      </c>
      <c r="Q1016" s="4">
        <v>109243</v>
      </c>
      <c r="R1016" s="4">
        <v>430544</v>
      </c>
      <c r="S1016" s="5">
        <v>0.4</v>
      </c>
      <c r="T1016" s="4">
        <v>172218</v>
      </c>
      <c r="U1016" s="4">
        <v>602762</v>
      </c>
      <c r="V1016" s="6">
        <f t="shared" si="30"/>
        <v>16274.574000000002</v>
      </c>
      <c r="W1016" s="6">
        <f t="shared" si="33"/>
        <v>586487.42599999998</v>
      </c>
    </row>
    <row r="1017" spans="1:23" x14ac:dyDescent="0.3">
      <c r="A1017" s="2" t="s">
        <v>21</v>
      </c>
      <c r="B1017" s="2">
        <v>6.01</v>
      </c>
      <c r="C1017" s="2">
        <v>2000497874</v>
      </c>
      <c r="D1017" s="2">
        <v>9.9</v>
      </c>
      <c r="E1017" s="2"/>
      <c r="F1017" s="2">
        <v>450</v>
      </c>
      <c r="G1017" s="2">
        <v>1050</v>
      </c>
      <c r="H1017" s="2"/>
      <c r="I1017" s="2"/>
      <c r="J1017" s="3">
        <f>IF(A1017="Upgrade",IF(OR(H1017=4,H1017=5),VLOOKUP(I1017,'Renewal Rates'!$A$22:$B$27,2,FALSE),2.7%),IF(A1017="Renewal",100%,0%))</f>
        <v>2.7000000000000003E-2</v>
      </c>
      <c r="K1017" s="2" t="s">
        <v>22</v>
      </c>
      <c r="L1017" s="2">
        <v>387</v>
      </c>
      <c r="M1017" s="2" t="s">
        <v>23</v>
      </c>
      <c r="N1017" s="2" t="s">
        <v>24</v>
      </c>
      <c r="O1017" s="4">
        <v>109234</v>
      </c>
      <c r="P1017" s="4">
        <v>11038</v>
      </c>
      <c r="Q1017" s="4">
        <v>37139</v>
      </c>
      <c r="R1017" s="4">
        <v>146373</v>
      </c>
      <c r="S1017" s="5">
        <v>0.4</v>
      </c>
      <c r="T1017" s="4">
        <v>58549</v>
      </c>
      <c r="U1017" s="4">
        <v>204923</v>
      </c>
      <c r="V1017" s="6">
        <f t="shared" si="30"/>
        <v>5532.9210000000003</v>
      </c>
      <c r="W1017" s="6">
        <f t="shared" si="33"/>
        <v>199390.079</v>
      </c>
    </row>
    <row r="1018" spans="1:23" x14ac:dyDescent="0.3">
      <c r="A1018" s="2" t="s">
        <v>21</v>
      </c>
      <c r="B1018" s="2">
        <v>6.01</v>
      </c>
      <c r="C1018" s="2">
        <v>2000287774</v>
      </c>
      <c r="D1018" s="2">
        <v>10</v>
      </c>
      <c r="E1018" s="2"/>
      <c r="F1018" s="2">
        <v>450</v>
      </c>
      <c r="G1018" s="2">
        <v>1050</v>
      </c>
      <c r="H1018" s="2"/>
      <c r="I1018" s="2"/>
      <c r="J1018" s="3">
        <f>IF(A1018="Upgrade",IF(OR(H1018=4,H1018=5),VLOOKUP(I1018,'Renewal Rates'!$A$22:$B$27,2,FALSE),2.7%),IF(A1018="Renewal",100%,0%))</f>
        <v>2.7000000000000003E-2</v>
      </c>
      <c r="K1018" s="2" t="s">
        <v>22</v>
      </c>
      <c r="L1018" s="2">
        <v>387</v>
      </c>
      <c r="M1018" s="2" t="s">
        <v>23</v>
      </c>
      <c r="N1018" s="2" t="s">
        <v>24</v>
      </c>
      <c r="O1018" s="4">
        <v>109509</v>
      </c>
      <c r="P1018" s="4">
        <v>10916</v>
      </c>
      <c r="Q1018" s="4">
        <v>37233</v>
      </c>
      <c r="R1018" s="4">
        <v>146743</v>
      </c>
      <c r="S1018" s="5">
        <v>0.4</v>
      </c>
      <c r="T1018" s="4">
        <v>58697</v>
      </c>
      <c r="U1018" s="4">
        <v>205440</v>
      </c>
      <c r="V1018" s="6">
        <f t="shared" si="30"/>
        <v>5546.880000000001</v>
      </c>
      <c r="W1018" s="6">
        <f t="shared" si="33"/>
        <v>199893.12</v>
      </c>
    </row>
    <row r="1019" spans="1:23" x14ac:dyDescent="0.3">
      <c r="A1019" s="2" t="s">
        <v>21</v>
      </c>
      <c r="B1019" s="2">
        <v>6.01</v>
      </c>
      <c r="C1019" s="2">
        <v>2000594004</v>
      </c>
      <c r="D1019" s="2">
        <v>56.9</v>
      </c>
      <c r="E1019" s="2"/>
      <c r="F1019" s="2">
        <v>450</v>
      </c>
      <c r="G1019" s="2">
        <v>1050</v>
      </c>
      <c r="H1019" s="2"/>
      <c r="I1019" s="2"/>
      <c r="J1019" s="3">
        <f>IF(A1019="Upgrade",IF(OR(H1019=4,H1019=5),VLOOKUP(I1019,'Renewal Rates'!$A$22:$B$27,2,FALSE),2.7%),IF(A1019="Renewal",100%,0%))</f>
        <v>2.7000000000000003E-2</v>
      </c>
      <c r="K1019" s="2" t="s">
        <v>22</v>
      </c>
      <c r="L1019" s="2">
        <v>387</v>
      </c>
      <c r="M1019" s="2" t="s">
        <v>23</v>
      </c>
      <c r="N1019" s="2" t="s">
        <v>24</v>
      </c>
      <c r="O1019" s="4">
        <v>401416</v>
      </c>
      <c r="P1019" s="4">
        <v>7050</v>
      </c>
      <c r="Q1019" s="4">
        <v>136481</v>
      </c>
      <c r="R1019" s="4">
        <v>537897</v>
      </c>
      <c r="S1019" s="5">
        <v>0.4</v>
      </c>
      <c r="T1019" s="4">
        <v>215159</v>
      </c>
      <c r="U1019" s="4">
        <v>753056</v>
      </c>
      <c r="V1019" s="6">
        <f t="shared" si="30"/>
        <v>20332.512000000002</v>
      </c>
      <c r="W1019" s="6">
        <f t="shared" si="33"/>
        <v>732723.48800000001</v>
      </c>
    </row>
    <row r="1020" spans="1:23" x14ac:dyDescent="0.3">
      <c r="A1020" s="2" t="s">
        <v>21</v>
      </c>
      <c r="B1020" s="2">
        <v>6.0019999999999998</v>
      </c>
      <c r="C1020" s="2">
        <v>2000112186</v>
      </c>
      <c r="D1020" s="2">
        <v>52.5</v>
      </c>
      <c r="E1020" s="2"/>
      <c r="F1020" s="2">
        <v>450</v>
      </c>
      <c r="G1020" s="2">
        <v>975</v>
      </c>
      <c r="H1020" s="2"/>
      <c r="I1020" s="2"/>
      <c r="J1020" s="3">
        <f>IF(A1020="Upgrade",IF(OR(H1020=4,H1020=5),VLOOKUP(I1020,'Renewal Rates'!$A$22:$B$27,2,FALSE),2.7%),IF(A1020="Renewal",100%,0%))</f>
        <v>2.7000000000000003E-2</v>
      </c>
      <c r="K1020" s="2" t="s">
        <v>22</v>
      </c>
      <c r="L1020" s="2">
        <v>387</v>
      </c>
      <c r="M1020" s="2" t="s">
        <v>23</v>
      </c>
      <c r="N1020" s="2" t="s">
        <v>24</v>
      </c>
      <c r="O1020" s="4">
        <v>361967</v>
      </c>
      <c r="P1020" s="4">
        <v>6890</v>
      </c>
      <c r="Q1020" s="4">
        <v>123069</v>
      </c>
      <c r="R1020" s="4">
        <v>485036</v>
      </c>
      <c r="S1020" s="5">
        <v>0.4</v>
      </c>
      <c r="T1020" s="4">
        <v>194015</v>
      </c>
      <c r="U1020" s="4">
        <v>679051</v>
      </c>
      <c r="V1020" s="6">
        <f t="shared" si="30"/>
        <v>18334.377</v>
      </c>
      <c r="W1020" s="6">
        <f t="shared" si="33"/>
        <v>660716.62300000002</v>
      </c>
    </row>
    <row r="1021" spans="1:23" x14ac:dyDescent="0.3">
      <c r="A1021" s="2" t="s">
        <v>21</v>
      </c>
      <c r="B1021" s="2">
        <v>6.0019999999999998</v>
      </c>
      <c r="C1021" s="2">
        <v>2000748675</v>
      </c>
      <c r="D1021" s="2">
        <v>10.7</v>
      </c>
      <c r="E1021" s="2"/>
      <c r="F1021" s="2">
        <v>300</v>
      </c>
      <c r="G1021" s="2">
        <v>975</v>
      </c>
      <c r="H1021" s="2"/>
      <c r="I1021" s="2"/>
      <c r="J1021" s="3">
        <f>IF(A1021="Upgrade",IF(OR(H1021=4,H1021=5),VLOOKUP(I1021,'Renewal Rates'!$A$22:$B$27,2,FALSE),2.7%),IF(A1021="Renewal",100%,0%))</f>
        <v>2.7000000000000003E-2</v>
      </c>
      <c r="K1021" s="2" t="s">
        <v>22</v>
      </c>
      <c r="L1021" s="2">
        <v>387</v>
      </c>
      <c r="M1021" s="2" t="s">
        <v>23</v>
      </c>
      <c r="N1021" s="2" t="s">
        <v>24</v>
      </c>
      <c r="O1021" s="4">
        <v>109573</v>
      </c>
      <c r="P1021" s="4">
        <v>10222</v>
      </c>
      <c r="Q1021" s="4">
        <v>37255</v>
      </c>
      <c r="R1021" s="4">
        <v>146828</v>
      </c>
      <c r="S1021" s="5">
        <v>0.4</v>
      </c>
      <c r="T1021" s="4">
        <v>58731</v>
      </c>
      <c r="U1021" s="4">
        <v>205559</v>
      </c>
      <c r="V1021" s="6">
        <f t="shared" si="30"/>
        <v>5550.0930000000008</v>
      </c>
      <c r="W1021" s="6">
        <f t="shared" si="33"/>
        <v>200008.90700000001</v>
      </c>
    </row>
    <row r="1022" spans="1:23" x14ac:dyDescent="0.3">
      <c r="A1022" s="2" t="s">
        <v>21</v>
      </c>
      <c r="B1022" s="2">
        <v>6.0019999999999998</v>
      </c>
      <c r="C1022" s="2">
        <v>2000299426</v>
      </c>
      <c r="D1022" s="2">
        <v>39.799999999999997</v>
      </c>
      <c r="E1022" s="2"/>
      <c r="F1022" s="2">
        <v>450</v>
      </c>
      <c r="G1022" s="2">
        <v>975</v>
      </c>
      <c r="H1022" s="2"/>
      <c r="I1022" s="2"/>
      <c r="J1022" s="3">
        <f>IF(A1022="Upgrade",IF(OR(H1022=4,H1022=5),VLOOKUP(I1022,'Renewal Rates'!$A$22:$B$27,2,FALSE),2.7%),IF(A1022="Renewal",100%,0%))</f>
        <v>2.7000000000000003E-2</v>
      </c>
      <c r="K1022" s="2" t="s">
        <v>22</v>
      </c>
      <c r="L1022" s="2">
        <v>387</v>
      </c>
      <c r="M1022" s="2" t="s">
        <v>23</v>
      </c>
      <c r="N1022" s="2" t="s">
        <v>24</v>
      </c>
      <c r="O1022" s="4">
        <v>254319</v>
      </c>
      <c r="P1022" s="4">
        <v>6386</v>
      </c>
      <c r="Q1022" s="4">
        <v>86469</v>
      </c>
      <c r="R1022" s="4">
        <v>340788</v>
      </c>
      <c r="S1022" s="5">
        <v>0.4</v>
      </c>
      <c r="T1022" s="4">
        <v>136315</v>
      </c>
      <c r="U1022" s="4">
        <v>477103</v>
      </c>
      <c r="V1022" s="6">
        <f t="shared" si="30"/>
        <v>12881.781000000001</v>
      </c>
      <c r="W1022" s="6">
        <f t="shared" si="33"/>
        <v>464221.21899999998</v>
      </c>
    </row>
    <row r="1023" spans="1:23" x14ac:dyDescent="0.3">
      <c r="A1023" s="2" t="s">
        <v>21</v>
      </c>
      <c r="B1023" s="2">
        <v>6.0019999999999998</v>
      </c>
      <c r="C1023" s="2">
        <v>2000447110</v>
      </c>
      <c r="D1023" s="2">
        <v>56.1</v>
      </c>
      <c r="E1023" s="2"/>
      <c r="F1023" s="2">
        <v>450</v>
      </c>
      <c r="G1023" s="2">
        <v>975</v>
      </c>
      <c r="H1023" s="2"/>
      <c r="I1023" s="2"/>
      <c r="J1023" s="3">
        <f>IF(A1023="Upgrade",IF(OR(H1023=4,H1023=5),VLOOKUP(I1023,'Renewal Rates'!$A$22:$B$27,2,FALSE),2.7%),IF(A1023="Renewal",100%,0%))</f>
        <v>2.7000000000000003E-2</v>
      </c>
      <c r="K1023" s="2" t="s">
        <v>22</v>
      </c>
      <c r="L1023" s="2">
        <v>387</v>
      </c>
      <c r="M1023" s="2" t="s">
        <v>23</v>
      </c>
      <c r="N1023" s="2" t="s">
        <v>24</v>
      </c>
      <c r="O1023" s="4">
        <v>368578</v>
      </c>
      <c r="P1023" s="4">
        <v>6571</v>
      </c>
      <c r="Q1023" s="4">
        <v>125317</v>
      </c>
      <c r="R1023" s="4">
        <v>493894</v>
      </c>
      <c r="S1023" s="5">
        <v>0.4</v>
      </c>
      <c r="T1023" s="4">
        <v>197558</v>
      </c>
      <c r="U1023" s="4">
        <v>691452</v>
      </c>
      <c r="V1023" s="6">
        <f t="shared" si="30"/>
        <v>18669.204000000002</v>
      </c>
      <c r="W1023" s="6">
        <f t="shared" si="33"/>
        <v>672782.79599999997</v>
      </c>
    </row>
    <row r="1024" spans="1:23" x14ac:dyDescent="0.3">
      <c r="A1024" s="2" t="s">
        <v>21</v>
      </c>
      <c r="B1024" s="2">
        <v>6.0019999999999998</v>
      </c>
      <c r="C1024" s="2">
        <v>2000369219</v>
      </c>
      <c r="D1024" s="2">
        <v>41.3</v>
      </c>
      <c r="E1024" s="2"/>
      <c r="F1024" s="2">
        <v>300</v>
      </c>
      <c r="G1024" s="2">
        <v>975</v>
      </c>
      <c r="H1024" s="2"/>
      <c r="I1024" s="2"/>
      <c r="J1024" s="3">
        <f>IF(A1024="Upgrade",IF(OR(H1024=4,H1024=5),VLOOKUP(I1024,'Renewal Rates'!$A$22:$B$27,2,FALSE),2.7%),IF(A1024="Renewal",100%,0%))</f>
        <v>2.7000000000000003E-2</v>
      </c>
      <c r="K1024" s="2" t="s">
        <v>22</v>
      </c>
      <c r="L1024" s="2">
        <v>387</v>
      </c>
      <c r="M1024" s="2" t="s">
        <v>23</v>
      </c>
      <c r="N1024" s="2" t="s">
        <v>24</v>
      </c>
      <c r="O1024" s="4">
        <v>256999</v>
      </c>
      <c r="P1024" s="4">
        <v>6228</v>
      </c>
      <c r="Q1024" s="4">
        <v>87380</v>
      </c>
      <c r="R1024" s="4">
        <v>344378</v>
      </c>
      <c r="S1024" s="5">
        <v>0.4</v>
      </c>
      <c r="T1024" s="4">
        <v>137751</v>
      </c>
      <c r="U1024" s="4">
        <v>482130</v>
      </c>
      <c r="V1024" s="6">
        <f t="shared" si="30"/>
        <v>13017.510000000002</v>
      </c>
      <c r="W1024" s="6">
        <f t="shared" si="33"/>
        <v>469112.49</v>
      </c>
    </row>
    <row r="1025" spans="1:23" x14ac:dyDescent="0.3">
      <c r="A1025" s="2" t="s">
        <v>21</v>
      </c>
      <c r="B1025" s="2">
        <v>6.0019999999999998</v>
      </c>
      <c r="C1025" s="2">
        <v>2000058450</v>
      </c>
      <c r="D1025" s="2">
        <v>42.6</v>
      </c>
      <c r="E1025" s="2"/>
      <c r="F1025" s="2">
        <v>300</v>
      </c>
      <c r="G1025" s="2">
        <v>975</v>
      </c>
      <c r="H1025" s="2"/>
      <c r="I1025" s="2"/>
      <c r="J1025" s="3">
        <f>IF(A1025="Upgrade",IF(OR(H1025=4,H1025=5),VLOOKUP(I1025,'Renewal Rates'!$A$22:$B$27,2,FALSE),2.7%),IF(A1025="Renewal",100%,0%))</f>
        <v>2.7000000000000003E-2</v>
      </c>
      <c r="K1025" s="2" t="s">
        <v>22</v>
      </c>
      <c r="L1025" s="2">
        <v>387</v>
      </c>
      <c r="M1025" s="2" t="s">
        <v>23</v>
      </c>
      <c r="N1025" s="2" t="s">
        <v>24</v>
      </c>
      <c r="O1025" s="4">
        <v>205534</v>
      </c>
      <c r="P1025" s="4">
        <v>4821</v>
      </c>
      <c r="Q1025" s="4">
        <v>69882</v>
      </c>
      <c r="R1025" s="4">
        <v>275416</v>
      </c>
      <c r="S1025" s="5">
        <v>0.4</v>
      </c>
      <c r="T1025" s="4">
        <v>110166</v>
      </c>
      <c r="U1025" s="4">
        <v>385582</v>
      </c>
      <c r="V1025" s="6">
        <f t="shared" si="30"/>
        <v>10410.714000000002</v>
      </c>
      <c r="W1025" s="6">
        <f t="shared" si="33"/>
        <v>375171.28600000002</v>
      </c>
    </row>
    <row r="1026" spans="1:23" x14ac:dyDescent="0.3">
      <c r="A1026" s="2" t="s">
        <v>21</v>
      </c>
      <c r="B1026" s="2">
        <v>6.0019999999999998</v>
      </c>
      <c r="C1026" s="2">
        <v>3000158790</v>
      </c>
      <c r="D1026" s="2">
        <v>26.6</v>
      </c>
      <c r="E1026" s="2"/>
      <c r="F1026" s="2">
        <v>300</v>
      </c>
      <c r="G1026" s="2">
        <v>975</v>
      </c>
      <c r="H1026" s="2"/>
      <c r="I1026" s="2"/>
      <c r="J1026" s="3">
        <f>IF(A1026="Upgrade",IF(OR(H1026=4,H1026=5),VLOOKUP(I1026,'Renewal Rates'!$A$22:$B$27,2,FALSE),2.7%),IF(A1026="Renewal",100%,0%))</f>
        <v>2.7000000000000003E-2</v>
      </c>
      <c r="K1026" s="2" t="s">
        <v>22</v>
      </c>
      <c r="L1026" s="2">
        <v>387</v>
      </c>
      <c r="M1026" s="2" t="s">
        <v>23</v>
      </c>
      <c r="N1026" s="2" t="s">
        <v>24</v>
      </c>
      <c r="O1026" s="4">
        <v>184453</v>
      </c>
      <c r="P1026" s="4">
        <v>6928</v>
      </c>
      <c r="Q1026" s="4">
        <v>62714</v>
      </c>
      <c r="R1026" s="4">
        <v>247167</v>
      </c>
      <c r="S1026" s="5">
        <v>0.4</v>
      </c>
      <c r="T1026" s="4">
        <v>98867</v>
      </c>
      <c r="U1026" s="4">
        <v>346034</v>
      </c>
      <c r="V1026" s="6">
        <f t="shared" si="30"/>
        <v>9342.9180000000015</v>
      </c>
      <c r="W1026" s="6">
        <f t="shared" si="33"/>
        <v>336691.08199999999</v>
      </c>
    </row>
    <row r="1027" spans="1:23" x14ac:dyDescent="0.3">
      <c r="A1027" s="2" t="s">
        <v>21</v>
      </c>
      <c r="B1027" s="2">
        <v>6.0019999999999998</v>
      </c>
      <c r="C1027" s="2">
        <v>2000208722</v>
      </c>
      <c r="D1027" s="2">
        <v>7.6</v>
      </c>
      <c r="E1027" s="2"/>
      <c r="F1027" s="2">
        <v>300</v>
      </c>
      <c r="G1027" s="2">
        <v>975</v>
      </c>
      <c r="H1027" s="2"/>
      <c r="I1027" s="2"/>
      <c r="J1027" s="3">
        <f>IF(A1027="Upgrade",IF(OR(H1027=4,H1027=5),VLOOKUP(I1027,'Renewal Rates'!$A$22:$B$27,2,FALSE),2.7%),IF(A1027="Renewal",100%,0%))</f>
        <v>2.7000000000000003E-2</v>
      </c>
      <c r="K1027" s="2" t="s">
        <v>22</v>
      </c>
      <c r="L1027" s="2">
        <v>387</v>
      </c>
      <c r="M1027" s="2" t="s">
        <v>23</v>
      </c>
      <c r="N1027" s="2" t="s">
        <v>24</v>
      </c>
      <c r="O1027" s="4">
        <v>103821</v>
      </c>
      <c r="P1027" s="4">
        <v>13625</v>
      </c>
      <c r="Q1027" s="4">
        <v>35299</v>
      </c>
      <c r="R1027" s="4">
        <v>139121</v>
      </c>
      <c r="S1027" s="5">
        <v>0.4</v>
      </c>
      <c r="T1027" s="4">
        <v>55648</v>
      </c>
      <c r="U1027" s="4">
        <v>194769</v>
      </c>
      <c r="V1027" s="6">
        <f t="shared" ref="V1027:V1045" si="34">J1027*U1027</f>
        <v>5258.7630000000008</v>
      </c>
      <c r="W1027" s="6">
        <f t="shared" si="33"/>
        <v>189510.23699999999</v>
      </c>
    </row>
    <row r="1028" spans="1:23" x14ac:dyDescent="0.3">
      <c r="A1028" s="2" t="s">
        <v>21</v>
      </c>
      <c r="B1028" s="2">
        <v>6.0019999999999998</v>
      </c>
      <c r="C1028" s="2">
        <v>2000009652</v>
      </c>
      <c r="D1028" s="2">
        <v>15.7</v>
      </c>
      <c r="E1028" s="2"/>
      <c r="F1028" s="2">
        <v>300</v>
      </c>
      <c r="G1028" s="2">
        <v>975</v>
      </c>
      <c r="H1028" s="2"/>
      <c r="I1028" s="2"/>
      <c r="J1028" s="3">
        <f>IF(A1028="Upgrade",IF(OR(H1028=4,H1028=5),VLOOKUP(I1028,'Renewal Rates'!$A$22:$B$27,2,FALSE),2.7%),IF(A1028="Renewal",100%,0%))</f>
        <v>2.7000000000000003E-2</v>
      </c>
      <c r="K1028" s="2" t="s">
        <v>22</v>
      </c>
      <c r="L1028" s="2">
        <v>387</v>
      </c>
      <c r="M1028" s="2" t="s">
        <v>23</v>
      </c>
      <c r="N1028" s="2" t="s">
        <v>24</v>
      </c>
      <c r="O1028" s="4">
        <v>141556</v>
      </c>
      <c r="P1028" s="4">
        <v>8999</v>
      </c>
      <c r="Q1028" s="4">
        <v>48129</v>
      </c>
      <c r="R1028" s="4">
        <v>189685</v>
      </c>
      <c r="S1028" s="5">
        <v>0.4</v>
      </c>
      <c r="T1028" s="4">
        <v>75874</v>
      </c>
      <c r="U1028" s="4">
        <v>265560</v>
      </c>
      <c r="V1028" s="6">
        <f t="shared" si="34"/>
        <v>7170.1200000000008</v>
      </c>
      <c r="W1028" s="6">
        <f t="shared" si="33"/>
        <v>258389.88</v>
      </c>
    </row>
    <row r="1029" spans="1:23" x14ac:dyDescent="0.3">
      <c r="A1029" s="2" t="s">
        <v>21</v>
      </c>
      <c r="B1029" s="2">
        <v>6.0019999999999998</v>
      </c>
      <c r="C1029" s="2">
        <v>2000161028</v>
      </c>
      <c r="D1029" s="2">
        <v>21.3</v>
      </c>
      <c r="E1029" s="2"/>
      <c r="F1029" s="2">
        <v>300</v>
      </c>
      <c r="G1029" s="2">
        <v>975</v>
      </c>
      <c r="H1029" s="2"/>
      <c r="I1029" s="2"/>
      <c r="J1029" s="3">
        <f>IF(A1029="Upgrade",IF(OR(H1029=4,H1029=5),VLOOKUP(I1029,'Renewal Rates'!$A$22:$B$27,2,FALSE),2.7%),IF(A1029="Renewal",100%,0%))</f>
        <v>2.7000000000000003E-2</v>
      </c>
      <c r="K1029" s="2" t="s">
        <v>22</v>
      </c>
      <c r="L1029" s="2">
        <v>387</v>
      </c>
      <c r="M1029" s="2" t="s">
        <v>23</v>
      </c>
      <c r="N1029" s="2" t="s">
        <v>24</v>
      </c>
      <c r="O1029" s="4">
        <v>117755</v>
      </c>
      <c r="P1029" s="4">
        <v>5536</v>
      </c>
      <c r="Q1029" s="4">
        <v>40037</v>
      </c>
      <c r="R1029" s="4">
        <v>157792</v>
      </c>
      <c r="S1029" s="5">
        <v>0.4</v>
      </c>
      <c r="T1029" s="4">
        <v>63117</v>
      </c>
      <c r="U1029" s="4">
        <v>220908</v>
      </c>
      <c r="V1029" s="6">
        <f t="shared" si="34"/>
        <v>5964.5160000000005</v>
      </c>
      <c r="W1029" s="6">
        <f t="shared" si="33"/>
        <v>214943.484</v>
      </c>
    </row>
    <row r="1030" spans="1:23" x14ac:dyDescent="0.3">
      <c r="A1030" s="2" t="s">
        <v>21</v>
      </c>
      <c r="B1030" s="2">
        <v>6.0110000000000001</v>
      </c>
      <c r="C1030" s="2">
        <v>2000613884</v>
      </c>
      <c r="D1030" s="2">
        <v>114.9</v>
      </c>
      <c r="E1030" s="2"/>
      <c r="F1030" s="2">
        <v>450</v>
      </c>
      <c r="G1030" s="2">
        <v>1125</v>
      </c>
      <c r="H1030" s="2"/>
      <c r="I1030" s="2"/>
      <c r="J1030" s="3">
        <f>IF(A1030="Upgrade",IF(OR(H1030=4,H1030=5),VLOOKUP(I1030,'Renewal Rates'!$A$22:$B$27,2,FALSE),2.7%),IF(A1030="Renewal",100%,0%))</f>
        <v>2.7000000000000003E-2</v>
      </c>
      <c r="K1030" s="2" t="s">
        <v>22</v>
      </c>
      <c r="L1030" s="2">
        <v>387</v>
      </c>
      <c r="M1030" s="2" t="s">
        <v>23</v>
      </c>
      <c r="N1030" s="2" t="s">
        <v>24</v>
      </c>
      <c r="O1030" s="4">
        <v>840673</v>
      </c>
      <c r="P1030" s="4">
        <v>7317</v>
      </c>
      <c r="Q1030" s="4">
        <v>285829</v>
      </c>
      <c r="R1030" s="4">
        <v>1126502</v>
      </c>
      <c r="S1030" s="5">
        <v>0.4</v>
      </c>
      <c r="T1030" s="4">
        <v>450601</v>
      </c>
      <c r="U1030" s="4">
        <v>1577103</v>
      </c>
      <c r="V1030" s="6">
        <f t="shared" si="34"/>
        <v>42581.781000000003</v>
      </c>
      <c r="W1030" s="6">
        <f t="shared" si="33"/>
        <v>1534521.219</v>
      </c>
    </row>
    <row r="1031" spans="1:23" x14ac:dyDescent="0.3">
      <c r="A1031" s="2" t="s">
        <v>21</v>
      </c>
      <c r="B1031" s="2">
        <v>6.0110000000000001</v>
      </c>
      <c r="C1031" s="2">
        <v>2000039579</v>
      </c>
      <c r="D1031" s="2">
        <v>60.8</v>
      </c>
      <c r="E1031" s="2"/>
      <c r="F1031" s="2">
        <v>225</v>
      </c>
      <c r="G1031" s="2">
        <v>1125</v>
      </c>
      <c r="H1031" s="2"/>
      <c r="I1031" s="2"/>
      <c r="J1031" s="3">
        <f>IF(A1031="Upgrade",IF(OR(H1031=4,H1031=5),VLOOKUP(I1031,'Renewal Rates'!$A$22:$B$27,2,FALSE),2.7%),IF(A1031="Renewal",100%,0%))</f>
        <v>2.7000000000000003E-2</v>
      </c>
      <c r="K1031" s="2" t="s">
        <v>22</v>
      </c>
      <c r="L1031" s="2">
        <v>387</v>
      </c>
      <c r="M1031" s="2" t="s">
        <v>23</v>
      </c>
      <c r="N1031" s="2" t="s">
        <v>24</v>
      </c>
      <c r="O1031" s="4">
        <v>441226</v>
      </c>
      <c r="P1031" s="4">
        <v>7257</v>
      </c>
      <c r="Q1031" s="4">
        <v>150017</v>
      </c>
      <c r="R1031" s="4">
        <v>591243</v>
      </c>
      <c r="S1031" s="5">
        <v>0.4</v>
      </c>
      <c r="T1031" s="4">
        <v>236497</v>
      </c>
      <c r="U1031" s="4">
        <v>827741</v>
      </c>
      <c r="V1031" s="6">
        <f t="shared" si="34"/>
        <v>22349.007000000001</v>
      </c>
      <c r="W1031" s="6">
        <f t="shared" si="33"/>
        <v>805391.99300000002</v>
      </c>
    </row>
    <row r="1032" spans="1:23" x14ac:dyDescent="0.3">
      <c r="A1032" s="2" t="s">
        <v>21</v>
      </c>
      <c r="B1032" s="2">
        <v>6.0030000000000001</v>
      </c>
      <c r="C1032" s="2">
        <v>2000002646</v>
      </c>
      <c r="D1032" s="2">
        <v>105.8</v>
      </c>
      <c r="E1032" s="2"/>
      <c r="F1032" s="2">
        <v>225</v>
      </c>
      <c r="G1032" s="2">
        <v>975</v>
      </c>
      <c r="H1032" s="2"/>
      <c r="I1032" s="2"/>
      <c r="J1032" s="3">
        <f>IF(A1032="Upgrade",IF(OR(H1032=4,H1032=5),VLOOKUP(I1032,'Renewal Rates'!$A$22:$B$27,2,FALSE),2.7%),IF(A1032="Renewal",100%,0%))</f>
        <v>2.7000000000000003E-2</v>
      </c>
      <c r="K1032" s="2" t="s">
        <v>22</v>
      </c>
      <c r="L1032" s="2">
        <v>387</v>
      </c>
      <c r="M1032" s="2" t="s">
        <v>23</v>
      </c>
      <c r="N1032" s="2" t="s">
        <v>24</v>
      </c>
      <c r="O1032" s="4">
        <v>658295</v>
      </c>
      <c r="P1032" s="4">
        <v>6222</v>
      </c>
      <c r="Q1032" s="4">
        <v>223820</v>
      </c>
      <c r="R1032" s="4">
        <v>882115</v>
      </c>
      <c r="S1032" s="5">
        <v>0.4</v>
      </c>
      <c r="T1032" s="4">
        <v>352846</v>
      </c>
      <c r="U1032" s="4">
        <v>1234961</v>
      </c>
      <c r="V1032" s="6">
        <f t="shared" si="34"/>
        <v>33343.947000000007</v>
      </c>
      <c r="W1032" s="6">
        <f t="shared" si="33"/>
        <v>1201617.0530000001</v>
      </c>
    </row>
    <row r="1033" spans="1:23" x14ac:dyDescent="0.3">
      <c r="A1033" s="2" t="s">
        <v>21</v>
      </c>
      <c r="B1033" s="2">
        <v>6.0030000000000001</v>
      </c>
      <c r="C1033" s="2">
        <v>2000671521</v>
      </c>
      <c r="D1033" s="2">
        <v>55.2</v>
      </c>
      <c r="E1033" s="2"/>
      <c r="F1033" s="2">
        <v>225</v>
      </c>
      <c r="G1033" s="2">
        <v>975</v>
      </c>
      <c r="H1033" s="2"/>
      <c r="I1033" s="2"/>
      <c r="J1033" s="3">
        <f>IF(A1033="Upgrade",IF(OR(H1033=4,H1033=5),VLOOKUP(I1033,'Renewal Rates'!$A$22:$B$27,2,FALSE),2.7%),IF(A1033="Renewal",100%,0%))</f>
        <v>2.7000000000000003E-2</v>
      </c>
      <c r="K1033" s="2" t="s">
        <v>22</v>
      </c>
      <c r="L1033" s="2">
        <v>387</v>
      </c>
      <c r="M1033" s="2" t="s">
        <v>23</v>
      </c>
      <c r="N1033" s="2" t="s">
        <v>24</v>
      </c>
      <c r="O1033" s="4">
        <v>366963</v>
      </c>
      <c r="P1033" s="4">
        <v>6645</v>
      </c>
      <c r="Q1033" s="4">
        <v>124768</v>
      </c>
      <c r="R1033" s="4">
        <v>491731</v>
      </c>
      <c r="S1033" s="5">
        <v>0.4</v>
      </c>
      <c r="T1033" s="4">
        <v>196692</v>
      </c>
      <c r="U1033" s="4">
        <v>688423</v>
      </c>
      <c r="V1033" s="6">
        <f t="shared" si="34"/>
        <v>18587.421000000002</v>
      </c>
      <c r="W1033" s="6">
        <f t="shared" si="33"/>
        <v>669835.57900000003</v>
      </c>
    </row>
    <row r="1034" spans="1:23" x14ac:dyDescent="0.3">
      <c r="A1034" s="2" t="s">
        <v>25</v>
      </c>
      <c r="B1034" s="2">
        <v>6.0060000000000002</v>
      </c>
      <c r="C1034" s="2"/>
      <c r="D1034" s="2"/>
      <c r="E1034" s="2">
        <v>133.69999999999999</v>
      </c>
      <c r="F1034" s="2"/>
      <c r="G1034" s="2">
        <v>750</v>
      </c>
      <c r="H1034" s="2"/>
      <c r="I1034" s="2"/>
      <c r="J1034" s="3">
        <f>IF(A1034="Upgrade",IF(OR(H1034=4,H1034=5),VLOOKUP(I1034,'Renewal Rates'!$A$22:$B$27,2,FALSE),2.7%),IF(A1034="Renewal",100%,0%))</f>
        <v>0</v>
      </c>
      <c r="K1034" s="2" t="s">
        <v>22</v>
      </c>
      <c r="L1034" s="2">
        <v>387</v>
      </c>
      <c r="M1034" s="2" t="s">
        <v>23</v>
      </c>
      <c r="N1034" s="2" t="s">
        <v>24</v>
      </c>
      <c r="O1034" s="4">
        <v>575814</v>
      </c>
      <c r="P1034" s="4">
        <v>4308</v>
      </c>
      <c r="Q1034" s="4">
        <v>195777</v>
      </c>
      <c r="R1034" s="4">
        <v>771591</v>
      </c>
      <c r="S1034" s="5">
        <v>0.4</v>
      </c>
      <c r="T1034" s="4">
        <v>308636</v>
      </c>
      <c r="U1034" s="4">
        <v>1080227</v>
      </c>
      <c r="V1034" s="6">
        <f t="shared" si="34"/>
        <v>0</v>
      </c>
    </row>
    <row r="1035" spans="1:23" x14ac:dyDescent="0.3">
      <c r="A1035" s="2" t="s">
        <v>21</v>
      </c>
      <c r="B1035" s="2">
        <v>6.0039999999999996</v>
      </c>
      <c r="C1035" s="2">
        <v>2000242774</v>
      </c>
      <c r="D1035" s="2">
        <v>6.2</v>
      </c>
      <c r="E1035" s="2"/>
      <c r="F1035" s="2">
        <v>300</v>
      </c>
      <c r="G1035" s="2">
        <v>750</v>
      </c>
      <c r="H1035" s="2"/>
      <c r="I1035" s="2"/>
      <c r="J1035" s="3">
        <f>IF(A1035="Upgrade",IF(OR(H1035=4,H1035=5),VLOOKUP(I1035,'Renewal Rates'!$A$22:$B$27,2,FALSE),2.7%),IF(A1035="Renewal",100%,0%))</f>
        <v>2.7000000000000003E-2</v>
      </c>
      <c r="K1035" s="2" t="s">
        <v>22</v>
      </c>
      <c r="L1035" s="2">
        <v>387</v>
      </c>
      <c r="M1035" s="2" t="s">
        <v>23</v>
      </c>
      <c r="N1035" s="2" t="s">
        <v>24</v>
      </c>
      <c r="O1035" s="4">
        <v>81424</v>
      </c>
      <c r="P1035" s="4">
        <v>13060</v>
      </c>
      <c r="Q1035" s="4">
        <v>27684</v>
      </c>
      <c r="R1035" s="4">
        <v>109108</v>
      </c>
      <c r="S1035" s="5">
        <v>0.4</v>
      </c>
      <c r="T1035" s="4">
        <v>43643</v>
      </c>
      <c r="U1035" s="4">
        <v>152751</v>
      </c>
      <c r="V1035" s="6">
        <f t="shared" si="34"/>
        <v>4124.277</v>
      </c>
      <c r="W1035" s="6">
        <f t="shared" ref="W1035:W1036" si="35">U1035-V1035</f>
        <v>148626.723</v>
      </c>
    </row>
    <row r="1036" spans="1:23" x14ac:dyDescent="0.3">
      <c r="A1036" s="2" t="s">
        <v>21</v>
      </c>
      <c r="B1036" s="2">
        <v>6.0039999999999996</v>
      </c>
      <c r="C1036" s="2">
        <v>2000126605</v>
      </c>
      <c r="D1036" s="2">
        <v>104.1</v>
      </c>
      <c r="E1036" s="2"/>
      <c r="F1036" s="2">
        <v>300</v>
      </c>
      <c r="G1036" s="2">
        <v>750</v>
      </c>
      <c r="H1036" s="2"/>
      <c r="I1036" s="2"/>
      <c r="J1036" s="3">
        <f>IF(A1036="Upgrade",IF(OR(H1036=4,H1036=5),VLOOKUP(I1036,'Renewal Rates'!$A$22:$B$27,2,FALSE),2.7%),IF(A1036="Renewal",100%,0%))</f>
        <v>2.7000000000000003E-2</v>
      </c>
      <c r="K1036" s="2" t="s">
        <v>22</v>
      </c>
      <c r="L1036" s="2">
        <v>387</v>
      </c>
      <c r="M1036" s="2" t="s">
        <v>23</v>
      </c>
      <c r="N1036" s="2" t="s">
        <v>24</v>
      </c>
      <c r="O1036" s="4">
        <v>434475</v>
      </c>
      <c r="P1036" s="4">
        <v>4173</v>
      </c>
      <c r="Q1036" s="4">
        <v>147721</v>
      </c>
      <c r="R1036" s="4">
        <v>582196</v>
      </c>
      <c r="S1036" s="5">
        <v>0.4</v>
      </c>
      <c r="T1036" s="4">
        <v>232878</v>
      </c>
      <c r="U1036" s="4">
        <v>815075</v>
      </c>
      <c r="V1036" s="6">
        <f t="shared" si="34"/>
        <v>22007.025000000001</v>
      </c>
      <c r="W1036" s="6">
        <f t="shared" si="35"/>
        <v>793067.97499999998</v>
      </c>
    </row>
    <row r="1037" spans="1:23" x14ac:dyDescent="0.3">
      <c r="A1037" s="2" t="s">
        <v>25</v>
      </c>
      <c r="B1037" s="2">
        <v>6.0069999999999997</v>
      </c>
      <c r="C1037" s="2"/>
      <c r="D1037" s="2"/>
      <c r="E1037" s="2">
        <v>155.9</v>
      </c>
      <c r="F1037" s="2"/>
      <c r="G1037" s="2">
        <v>525</v>
      </c>
      <c r="H1037" s="2"/>
      <c r="I1037" s="2"/>
      <c r="J1037" s="3">
        <f>IF(A1037="Upgrade",IF(OR(H1037=4,H1037=5),VLOOKUP(I1037,'Renewal Rates'!$A$22:$B$27,2,FALSE),2.7%),IF(A1037="Renewal",100%,0%))</f>
        <v>0</v>
      </c>
      <c r="K1037" s="2" t="s">
        <v>22</v>
      </c>
      <c r="L1037" s="2">
        <v>387</v>
      </c>
      <c r="M1037" s="2" t="s">
        <v>23</v>
      </c>
      <c r="N1037" s="2" t="s">
        <v>24</v>
      </c>
      <c r="O1037" s="4">
        <v>469881</v>
      </c>
      <c r="P1037" s="4">
        <v>3014</v>
      </c>
      <c r="Q1037" s="4">
        <v>159760</v>
      </c>
      <c r="R1037" s="4">
        <v>629641</v>
      </c>
      <c r="S1037" s="5">
        <v>0.4</v>
      </c>
      <c r="T1037" s="4">
        <v>251856</v>
      </c>
      <c r="U1037" s="4">
        <v>881497</v>
      </c>
      <c r="V1037" s="6">
        <f t="shared" si="34"/>
        <v>0</v>
      </c>
    </row>
    <row r="1038" spans="1:23" x14ac:dyDescent="0.3">
      <c r="A1038" s="2" t="s">
        <v>21</v>
      </c>
      <c r="B1038" s="2">
        <v>6.0090000000000003</v>
      </c>
      <c r="C1038" s="2">
        <v>2000118377</v>
      </c>
      <c r="D1038" s="2">
        <v>23.6</v>
      </c>
      <c r="E1038" s="2"/>
      <c r="F1038" s="2">
        <v>375</v>
      </c>
      <c r="G1038" s="2">
        <v>825</v>
      </c>
      <c r="H1038" s="2"/>
      <c r="I1038" s="2"/>
      <c r="J1038" s="3">
        <f>IF(A1038="Upgrade",IF(OR(H1038=4,H1038=5),VLOOKUP(I1038,'Renewal Rates'!$A$22:$B$27,2,FALSE),2.7%),IF(A1038="Renewal",100%,0%))</f>
        <v>2.7000000000000003E-2</v>
      </c>
      <c r="K1038" s="2" t="s">
        <v>22</v>
      </c>
      <c r="L1038" s="2">
        <v>387</v>
      </c>
      <c r="M1038" s="2" t="s">
        <v>23</v>
      </c>
      <c r="N1038" s="2" t="s">
        <v>24</v>
      </c>
      <c r="O1038" s="4">
        <v>147386</v>
      </c>
      <c r="P1038" s="4">
        <v>6234</v>
      </c>
      <c r="Q1038" s="4">
        <v>50111</v>
      </c>
      <c r="R1038" s="4">
        <v>197497</v>
      </c>
      <c r="S1038" s="5">
        <v>0.4</v>
      </c>
      <c r="T1038" s="4">
        <v>78999</v>
      </c>
      <c r="U1038" s="4">
        <v>276496</v>
      </c>
      <c r="V1038" s="6">
        <f t="shared" si="34"/>
        <v>7465.3920000000007</v>
      </c>
      <c r="W1038" s="6">
        <f t="shared" ref="W1038:W1043" si="36">U1038-V1038</f>
        <v>269030.60800000001</v>
      </c>
    </row>
    <row r="1039" spans="1:23" x14ac:dyDescent="0.3">
      <c r="A1039" s="2" t="s">
        <v>21</v>
      </c>
      <c r="B1039" s="2">
        <v>6.0090000000000003</v>
      </c>
      <c r="C1039" s="2">
        <v>2000941228</v>
      </c>
      <c r="D1039" s="2">
        <v>14.9</v>
      </c>
      <c r="E1039" s="2">
        <v>0</v>
      </c>
      <c r="F1039" s="2">
        <v>375</v>
      </c>
      <c r="G1039" s="2">
        <v>825</v>
      </c>
      <c r="H1039" s="2"/>
      <c r="I1039" s="2"/>
      <c r="J1039" s="3">
        <f>IF(A1039="Upgrade",IF(OR(H1039=4,H1039=5),VLOOKUP(I1039,'Renewal Rates'!$A$22:$B$27,2,FALSE),2.7%),IF(A1039="Renewal",100%,0%))</f>
        <v>2.7000000000000003E-2</v>
      </c>
      <c r="K1039" s="2" t="s">
        <v>22</v>
      </c>
      <c r="L1039" s="2">
        <v>387</v>
      </c>
      <c r="M1039" s="2" t="s">
        <v>23</v>
      </c>
      <c r="N1039" s="2" t="s">
        <v>24</v>
      </c>
      <c r="O1039" s="4">
        <v>91183</v>
      </c>
      <c r="P1039" s="4">
        <v>6131</v>
      </c>
      <c r="Q1039" s="4">
        <v>31002</v>
      </c>
      <c r="R1039" s="4">
        <v>122185</v>
      </c>
      <c r="S1039" s="5">
        <v>0.4</v>
      </c>
      <c r="T1039" s="4">
        <v>48874</v>
      </c>
      <c r="U1039" s="4">
        <v>171059</v>
      </c>
      <c r="V1039" s="6">
        <f t="shared" si="34"/>
        <v>4618.5930000000008</v>
      </c>
      <c r="W1039" s="6">
        <f t="shared" si="36"/>
        <v>166440.40700000001</v>
      </c>
    </row>
    <row r="1040" spans="1:23" x14ac:dyDescent="0.3">
      <c r="A1040" s="2" t="s">
        <v>21</v>
      </c>
      <c r="B1040" s="2">
        <v>6.0090000000000003</v>
      </c>
      <c r="C1040" s="2">
        <v>2000015552</v>
      </c>
      <c r="D1040" s="2">
        <v>50.6</v>
      </c>
      <c r="E1040" s="2"/>
      <c r="F1040" s="2">
        <v>375</v>
      </c>
      <c r="G1040" s="2">
        <v>825</v>
      </c>
      <c r="H1040" s="2"/>
      <c r="I1040" s="2"/>
      <c r="J1040" s="3">
        <f>IF(A1040="Upgrade",IF(OR(H1040=4,H1040=5),VLOOKUP(I1040,'Renewal Rates'!$A$22:$B$27,2,FALSE),2.7%),IF(A1040="Renewal",100%,0%))</f>
        <v>2.7000000000000003E-2</v>
      </c>
      <c r="K1040" s="2" t="s">
        <v>22</v>
      </c>
      <c r="L1040" s="2">
        <v>387</v>
      </c>
      <c r="M1040" s="2" t="s">
        <v>23</v>
      </c>
      <c r="N1040" s="2" t="s">
        <v>24</v>
      </c>
      <c r="O1040" s="4">
        <v>247446</v>
      </c>
      <c r="P1040" s="4">
        <v>4888</v>
      </c>
      <c r="Q1040" s="4">
        <v>84132</v>
      </c>
      <c r="R1040" s="4">
        <v>331578</v>
      </c>
      <c r="S1040" s="5">
        <v>0.4</v>
      </c>
      <c r="T1040" s="4">
        <v>132631</v>
      </c>
      <c r="U1040" s="4">
        <v>464209</v>
      </c>
      <c r="V1040" s="6">
        <f t="shared" si="34"/>
        <v>12533.643000000002</v>
      </c>
      <c r="W1040" s="6">
        <f t="shared" si="36"/>
        <v>451675.35700000002</v>
      </c>
    </row>
    <row r="1041" spans="1:23" x14ac:dyDescent="0.3">
      <c r="A1041" s="2" t="s">
        <v>21</v>
      </c>
      <c r="B1041" s="2">
        <v>6.0090000000000003</v>
      </c>
      <c r="C1041" s="2">
        <v>2000750470</v>
      </c>
      <c r="D1041" s="2">
        <v>80.2</v>
      </c>
      <c r="E1041" s="2"/>
      <c r="F1041" s="2">
        <v>375</v>
      </c>
      <c r="G1041" s="2">
        <v>825</v>
      </c>
      <c r="H1041" s="2"/>
      <c r="I1041" s="2"/>
      <c r="J1041" s="3">
        <f>IF(A1041="Upgrade",IF(OR(H1041=4,H1041=5),VLOOKUP(I1041,'Renewal Rates'!$A$22:$B$27,2,FALSE),2.7%),IF(A1041="Renewal",100%,0%))</f>
        <v>2.7000000000000003E-2</v>
      </c>
      <c r="K1041" s="2" t="s">
        <v>22</v>
      </c>
      <c r="L1041" s="2">
        <v>387</v>
      </c>
      <c r="M1041" s="2" t="s">
        <v>23</v>
      </c>
      <c r="N1041" s="2" t="s">
        <v>24</v>
      </c>
      <c r="O1041" s="4">
        <v>370295</v>
      </c>
      <c r="P1041" s="4">
        <v>4616</v>
      </c>
      <c r="Q1041" s="4">
        <v>125900</v>
      </c>
      <c r="R1041" s="4">
        <v>496195</v>
      </c>
      <c r="S1041" s="5">
        <v>0.4</v>
      </c>
      <c r="T1041" s="4">
        <v>198478</v>
      </c>
      <c r="U1041" s="4">
        <v>694673</v>
      </c>
      <c r="V1041" s="6">
        <f t="shared" si="34"/>
        <v>18756.171000000002</v>
      </c>
      <c r="W1041" s="6">
        <f t="shared" si="36"/>
        <v>675916.82900000003</v>
      </c>
    </row>
    <row r="1042" spans="1:23" x14ac:dyDescent="0.3">
      <c r="A1042" s="2" t="s">
        <v>21</v>
      </c>
      <c r="B1042" s="2">
        <v>6.0090000000000003</v>
      </c>
      <c r="C1042" s="2">
        <v>2000227476</v>
      </c>
      <c r="D1042" s="2">
        <v>80.2</v>
      </c>
      <c r="E1042" s="2"/>
      <c r="F1042" s="2">
        <v>375</v>
      </c>
      <c r="G1042" s="2">
        <v>825</v>
      </c>
      <c r="H1042" s="2"/>
      <c r="I1042" s="2"/>
      <c r="J1042" s="3">
        <f>IF(A1042="Upgrade",IF(OR(H1042=4,H1042=5),VLOOKUP(I1042,'Renewal Rates'!$A$22:$B$27,2,FALSE),2.7%),IF(A1042="Renewal",100%,0%))</f>
        <v>2.7000000000000003E-2</v>
      </c>
      <c r="K1042" s="2" t="s">
        <v>22</v>
      </c>
      <c r="L1042" s="2">
        <v>387</v>
      </c>
      <c r="M1042" s="2" t="s">
        <v>23</v>
      </c>
      <c r="N1042" s="2" t="s">
        <v>24</v>
      </c>
      <c r="O1042" s="4">
        <v>370263</v>
      </c>
      <c r="P1042" s="4">
        <v>4617</v>
      </c>
      <c r="Q1042" s="4">
        <v>125889</v>
      </c>
      <c r="R1042" s="4">
        <v>496153</v>
      </c>
      <c r="S1042" s="5">
        <v>0.4</v>
      </c>
      <c r="T1042" s="4">
        <v>198461</v>
      </c>
      <c r="U1042" s="4">
        <v>694614</v>
      </c>
      <c r="V1042" s="6">
        <f t="shared" si="34"/>
        <v>18754.578000000001</v>
      </c>
      <c r="W1042" s="6">
        <f t="shared" si="36"/>
        <v>675859.42200000002</v>
      </c>
    </row>
    <row r="1043" spans="1:23" x14ac:dyDescent="0.3">
      <c r="A1043" s="2" t="s">
        <v>21</v>
      </c>
      <c r="B1043" s="2">
        <v>6.0090000000000003</v>
      </c>
      <c r="C1043" s="2">
        <v>2000758727</v>
      </c>
      <c r="D1043" s="2">
        <v>16.3</v>
      </c>
      <c r="E1043" s="2"/>
      <c r="F1043" s="2">
        <v>225</v>
      </c>
      <c r="G1043" s="2">
        <v>825</v>
      </c>
      <c r="H1043" s="2"/>
      <c r="I1043" s="2"/>
      <c r="J1043" s="3">
        <f>IF(A1043="Upgrade",IF(OR(H1043=4,H1043=5),VLOOKUP(I1043,'Renewal Rates'!$A$22:$B$27,2,FALSE),2.7%),IF(A1043="Renewal",100%,0%))</f>
        <v>2.7000000000000003E-2</v>
      </c>
      <c r="K1043" s="2" t="s">
        <v>22</v>
      </c>
      <c r="L1043" s="2">
        <v>387</v>
      </c>
      <c r="M1043" s="2" t="s">
        <v>23</v>
      </c>
      <c r="N1043" s="2" t="s">
        <v>24</v>
      </c>
      <c r="O1043" s="4">
        <v>93423</v>
      </c>
      <c r="P1043" s="4">
        <v>5717</v>
      </c>
      <c r="Q1043" s="4">
        <v>31764</v>
      </c>
      <c r="R1043" s="4">
        <v>125186</v>
      </c>
      <c r="S1043" s="5">
        <v>0.4</v>
      </c>
      <c r="T1043" s="4">
        <v>50075</v>
      </c>
      <c r="U1043" s="4">
        <v>175261</v>
      </c>
      <c r="V1043" s="6">
        <f t="shared" si="34"/>
        <v>4732.0470000000005</v>
      </c>
      <c r="W1043" s="6">
        <f t="shared" si="36"/>
        <v>170528.95300000001</v>
      </c>
    </row>
    <row r="1044" spans="1:23" x14ac:dyDescent="0.3">
      <c r="A1044" s="2" t="s">
        <v>25</v>
      </c>
      <c r="B1044" s="2">
        <v>6.0010000000000003</v>
      </c>
      <c r="C1044" s="2"/>
      <c r="D1044" s="2"/>
      <c r="E1044" s="2">
        <v>70.7</v>
      </c>
      <c r="F1044" s="2"/>
      <c r="G1044" s="2">
        <v>600</v>
      </c>
      <c r="H1044" s="2"/>
      <c r="I1044" s="2"/>
      <c r="J1044" s="3">
        <f>IF(A1044="Upgrade",IF(OR(H1044=4,H1044=5),VLOOKUP(I1044,'Renewal Rates'!$A$22:$B$27,2,FALSE),2.7%),IF(A1044="Renewal",100%,0%))</f>
        <v>0</v>
      </c>
      <c r="K1044" s="2" t="s">
        <v>22</v>
      </c>
      <c r="L1044" s="2">
        <v>387</v>
      </c>
      <c r="M1044" s="2" t="s">
        <v>23</v>
      </c>
      <c r="N1044" s="2" t="s">
        <v>24</v>
      </c>
      <c r="O1044" s="4">
        <v>251611</v>
      </c>
      <c r="P1044" s="4">
        <v>3559</v>
      </c>
      <c r="Q1044" s="4">
        <v>85548</v>
      </c>
      <c r="R1044" s="4">
        <v>337159</v>
      </c>
      <c r="S1044" s="5">
        <v>0.4</v>
      </c>
      <c r="T1044" s="4">
        <v>134864</v>
      </c>
      <c r="U1044" s="4">
        <v>472023</v>
      </c>
      <c r="V1044" s="6">
        <f t="shared" si="34"/>
        <v>0</v>
      </c>
    </row>
    <row r="1045" spans="1:23" x14ac:dyDescent="0.3">
      <c r="A1045" s="2" t="s">
        <v>25</v>
      </c>
      <c r="B1045" s="2">
        <v>6.008</v>
      </c>
      <c r="C1045" s="2"/>
      <c r="D1045" s="2"/>
      <c r="E1045" s="2">
        <v>94.2</v>
      </c>
      <c r="F1045" s="2"/>
      <c r="G1045" s="2">
        <v>525</v>
      </c>
      <c r="H1045" s="2"/>
      <c r="I1045" s="2"/>
      <c r="J1045" s="3">
        <f>IF(A1045="Upgrade",IF(OR(H1045=4,H1045=5),VLOOKUP(I1045,'Renewal Rates'!$A$22:$B$27,2,FALSE),2.7%),IF(A1045="Renewal",100%,0%))</f>
        <v>0</v>
      </c>
      <c r="K1045" s="2" t="s">
        <v>22</v>
      </c>
      <c r="L1045" s="2">
        <v>387</v>
      </c>
      <c r="M1045" s="2" t="s">
        <v>23</v>
      </c>
      <c r="N1045" s="2" t="s">
        <v>24</v>
      </c>
      <c r="O1045" s="4">
        <v>281092</v>
      </c>
      <c r="P1045" s="4">
        <v>2984</v>
      </c>
      <c r="Q1045" s="4">
        <v>95571</v>
      </c>
      <c r="R1045" s="4">
        <v>376664</v>
      </c>
      <c r="S1045" s="5">
        <v>0.4</v>
      </c>
      <c r="T1045" s="4">
        <v>150665</v>
      </c>
      <c r="U1045" s="4">
        <v>527329</v>
      </c>
      <c r="V1045" s="6">
        <f t="shared" si="34"/>
        <v>0</v>
      </c>
    </row>
    <row r="1046" spans="1:23" x14ac:dyDescent="0.3">
      <c r="A1046" s="2" t="s">
        <v>48</v>
      </c>
      <c r="B1046" s="2"/>
      <c r="C1046" s="2">
        <v>2000210446</v>
      </c>
      <c r="D1046" s="2">
        <v>85.5</v>
      </c>
      <c r="E1046" s="2"/>
      <c r="F1046" s="2">
        <v>1200</v>
      </c>
      <c r="G1046" s="2" t="s">
        <v>22</v>
      </c>
      <c r="H1046" s="2">
        <v>4</v>
      </c>
      <c r="I1046" s="2">
        <v>4</v>
      </c>
      <c r="J1046" s="3">
        <f>IF(A1046="Upgrade",IF(OR(H1046=4,H1046=5),VLOOKUP(I1046,'Renewal Rates'!$A$22:$B$27,2,FALSE),2.7%),IF(A1046="Renewal",100%,0%))</f>
        <v>1</v>
      </c>
      <c r="K1046" s="2" t="s">
        <v>22</v>
      </c>
      <c r="L1046" s="2">
        <v>385</v>
      </c>
      <c r="M1046" s="2" t="s">
        <v>23</v>
      </c>
      <c r="N1046" s="2" t="s">
        <v>24</v>
      </c>
      <c r="O1046" s="2" t="s">
        <v>56</v>
      </c>
      <c r="P1046" s="2" t="s">
        <v>57</v>
      </c>
      <c r="Q1046" s="2" t="s">
        <v>57</v>
      </c>
      <c r="R1046" s="2" t="s">
        <v>57</v>
      </c>
      <c r="S1046" s="5">
        <v>0.4</v>
      </c>
      <c r="T1046" s="2" t="s">
        <v>56</v>
      </c>
      <c r="U1046" s="2" t="s">
        <v>57</v>
      </c>
      <c r="V1046" s="6"/>
    </row>
    <row r="1047" spans="1:23" x14ac:dyDescent="0.3">
      <c r="A1047" s="2" t="s">
        <v>48</v>
      </c>
      <c r="B1047" s="2"/>
      <c r="C1047" s="2">
        <v>2000728704</v>
      </c>
      <c r="D1047" s="2">
        <v>44.6</v>
      </c>
      <c r="E1047" s="2"/>
      <c r="F1047" s="2">
        <v>1500</v>
      </c>
      <c r="G1047" s="2" t="s">
        <v>22</v>
      </c>
      <c r="H1047" s="2">
        <v>5</v>
      </c>
      <c r="I1047" s="2">
        <v>4</v>
      </c>
      <c r="J1047" s="3">
        <f>IF(A1047="Upgrade",IF(OR(H1047=4,H1047=5),VLOOKUP(I1047,'Renewal Rates'!$A$22:$B$27,2,FALSE),2.7%),IF(A1047="Renewal",100%,0%))</f>
        <v>1</v>
      </c>
      <c r="K1047" s="2" t="s">
        <v>22</v>
      </c>
      <c r="L1047" s="2">
        <v>385</v>
      </c>
      <c r="M1047" s="2" t="s">
        <v>23</v>
      </c>
      <c r="N1047" s="2" t="s">
        <v>24</v>
      </c>
      <c r="O1047" s="2" t="s">
        <v>56</v>
      </c>
      <c r="P1047" s="2" t="s">
        <v>57</v>
      </c>
      <c r="Q1047" s="2" t="s">
        <v>57</v>
      </c>
      <c r="R1047" s="2" t="s">
        <v>57</v>
      </c>
      <c r="S1047" s="5">
        <v>0.4</v>
      </c>
      <c r="T1047" s="2" t="s">
        <v>56</v>
      </c>
      <c r="U1047" s="2" t="s">
        <v>57</v>
      </c>
      <c r="V1047" s="6"/>
    </row>
    <row r="1048" spans="1:23" x14ac:dyDescent="0.3">
      <c r="A1048" s="2" t="s">
        <v>48</v>
      </c>
      <c r="B1048" s="2"/>
      <c r="C1048" s="2">
        <v>2000631847</v>
      </c>
      <c r="D1048" s="2">
        <v>39.200000000000003</v>
      </c>
      <c r="E1048" s="2"/>
      <c r="F1048" s="2">
        <v>225</v>
      </c>
      <c r="G1048" s="2" t="s">
        <v>22</v>
      </c>
      <c r="H1048" s="2">
        <v>4</v>
      </c>
      <c r="I1048" s="2">
        <v>4</v>
      </c>
      <c r="J1048" s="3">
        <f>IF(A1048="Upgrade",IF(OR(H1048=4,H1048=5),VLOOKUP(I1048,'Renewal Rates'!$A$22:$B$27,2,FALSE),2.7%),IF(A1048="Renewal",100%,0%))</f>
        <v>1</v>
      </c>
      <c r="K1048" s="2" t="s">
        <v>22</v>
      </c>
      <c r="L1048" s="2">
        <v>385</v>
      </c>
      <c r="M1048" s="2" t="s">
        <v>23</v>
      </c>
      <c r="N1048" s="2" t="s">
        <v>24</v>
      </c>
      <c r="O1048" s="2" t="s">
        <v>56</v>
      </c>
      <c r="P1048" s="2" t="s">
        <v>57</v>
      </c>
      <c r="Q1048" s="2" t="s">
        <v>57</v>
      </c>
      <c r="R1048" s="2" t="s">
        <v>57</v>
      </c>
      <c r="S1048" s="5">
        <v>0.4</v>
      </c>
      <c r="T1048" s="2" t="s">
        <v>56</v>
      </c>
      <c r="U1048" s="2" t="s">
        <v>57</v>
      </c>
      <c r="V1048" s="6"/>
    </row>
    <row r="1049" spans="1:23" x14ac:dyDescent="0.3">
      <c r="A1049" s="2" t="s">
        <v>48</v>
      </c>
      <c r="B1049" s="2"/>
      <c r="C1049" s="2">
        <v>2000501968</v>
      </c>
      <c r="D1049" s="2">
        <v>38.9</v>
      </c>
      <c r="E1049" s="2"/>
      <c r="F1049" s="2">
        <v>225</v>
      </c>
      <c r="G1049" s="2" t="s">
        <v>22</v>
      </c>
      <c r="H1049" s="2">
        <v>4</v>
      </c>
      <c r="I1049" s="2">
        <v>5</v>
      </c>
      <c r="J1049" s="3">
        <f>IF(A1049="Upgrade",IF(OR(H1049=4,H1049=5),VLOOKUP(I1049,'Renewal Rates'!$A$22:$B$27,2,FALSE),2.7%),IF(A1049="Renewal",100%,0%))</f>
        <v>1</v>
      </c>
      <c r="K1049" s="2" t="s">
        <v>22</v>
      </c>
      <c r="L1049" s="2">
        <v>385</v>
      </c>
      <c r="M1049" s="2" t="s">
        <v>23</v>
      </c>
      <c r="N1049" s="2" t="s">
        <v>24</v>
      </c>
      <c r="O1049" s="2" t="s">
        <v>56</v>
      </c>
      <c r="P1049" s="2" t="s">
        <v>57</v>
      </c>
      <c r="Q1049" s="2" t="s">
        <v>57</v>
      </c>
      <c r="R1049" s="2" t="s">
        <v>57</v>
      </c>
      <c r="S1049" s="5">
        <v>0.4</v>
      </c>
      <c r="T1049" s="2" t="s">
        <v>56</v>
      </c>
      <c r="U1049" s="2" t="s">
        <v>57</v>
      </c>
      <c r="V1049" s="6"/>
    </row>
    <row r="1050" spans="1:23" x14ac:dyDescent="0.3">
      <c r="A1050" s="2" t="s">
        <v>48</v>
      </c>
      <c r="B1050" s="2"/>
      <c r="C1050" s="2">
        <v>2000493978</v>
      </c>
      <c r="D1050" s="2">
        <v>72.400000000000006</v>
      </c>
      <c r="E1050" s="2"/>
      <c r="F1050" s="2">
        <v>375</v>
      </c>
      <c r="G1050" s="2" t="s">
        <v>22</v>
      </c>
      <c r="H1050" s="2">
        <v>5</v>
      </c>
      <c r="I1050" s="2">
        <v>5</v>
      </c>
      <c r="J1050" s="3">
        <f>IF(A1050="Upgrade",IF(OR(H1050=4,H1050=5),VLOOKUP(I1050,'Renewal Rates'!$A$22:$B$27,2,FALSE),2.7%),IF(A1050="Renewal",100%,0%))</f>
        <v>1</v>
      </c>
      <c r="K1050" s="2" t="s">
        <v>22</v>
      </c>
      <c r="L1050" s="2">
        <v>378</v>
      </c>
      <c r="M1050" s="2" t="s">
        <v>23</v>
      </c>
      <c r="N1050" s="2" t="s">
        <v>24</v>
      </c>
      <c r="O1050" s="2" t="s">
        <v>56</v>
      </c>
      <c r="P1050" s="2" t="s">
        <v>57</v>
      </c>
      <c r="Q1050" s="2" t="s">
        <v>57</v>
      </c>
      <c r="R1050" s="2" t="s">
        <v>57</v>
      </c>
      <c r="S1050" s="5">
        <v>0.4</v>
      </c>
      <c r="T1050" s="2" t="s">
        <v>56</v>
      </c>
      <c r="U1050" s="2" t="s">
        <v>57</v>
      </c>
      <c r="V1050" s="6"/>
    </row>
    <row r="1051" spans="1:23" x14ac:dyDescent="0.3">
      <c r="A1051" s="2" t="s">
        <v>48</v>
      </c>
      <c r="B1051" s="2"/>
      <c r="C1051" s="2">
        <v>2000132695</v>
      </c>
      <c r="D1051" s="2">
        <v>53.1</v>
      </c>
      <c r="E1051" s="2"/>
      <c r="F1051" s="2">
        <v>300</v>
      </c>
      <c r="G1051" s="2" t="s">
        <v>22</v>
      </c>
      <c r="H1051" s="2">
        <v>5</v>
      </c>
      <c r="I1051" s="2">
        <v>5</v>
      </c>
      <c r="J1051" s="3">
        <f>IF(A1051="Upgrade",IF(OR(H1051=4,H1051=5),VLOOKUP(I1051,'Renewal Rates'!$A$22:$B$27,2,FALSE),2.7%),IF(A1051="Renewal",100%,0%))</f>
        <v>1</v>
      </c>
      <c r="K1051" s="2" t="s">
        <v>22</v>
      </c>
      <c r="L1051" s="2">
        <v>386</v>
      </c>
      <c r="M1051" s="2" t="s">
        <v>23</v>
      </c>
      <c r="N1051" s="2" t="s">
        <v>24</v>
      </c>
      <c r="O1051" s="2" t="s">
        <v>56</v>
      </c>
      <c r="P1051" s="2" t="s">
        <v>57</v>
      </c>
      <c r="Q1051" s="2" t="s">
        <v>57</v>
      </c>
      <c r="R1051" s="2" t="s">
        <v>57</v>
      </c>
      <c r="S1051" s="5">
        <v>0.4</v>
      </c>
      <c r="T1051" s="2" t="s">
        <v>56</v>
      </c>
      <c r="U1051" s="2" t="s">
        <v>57</v>
      </c>
      <c r="V1051" s="6"/>
    </row>
    <row r="1052" spans="1:23" x14ac:dyDescent="0.3">
      <c r="A1052" s="2" t="s">
        <v>48</v>
      </c>
      <c r="B1052" s="2"/>
      <c r="C1052" s="2">
        <v>2000390249</v>
      </c>
      <c r="D1052" s="2">
        <v>22</v>
      </c>
      <c r="E1052" s="2"/>
      <c r="F1052" s="2">
        <v>300</v>
      </c>
      <c r="G1052" s="2" t="s">
        <v>22</v>
      </c>
      <c r="H1052" s="2">
        <v>4</v>
      </c>
      <c r="I1052" s="2">
        <v>4</v>
      </c>
      <c r="J1052" s="3">
        <f>IF(A1052="Upgrade",IF(OR(H1052=4,H1052=5),VLOOKUP(I1052,'Renewal Rates'!$A$22:$B$27,2,FALSE),2.7%),IF(A1052="Renewal",100%,0%))</f>
        <v>1</v>
      </c>
      <c r="K1052" s="2" t="s">
        <v>22</v>
      </c>
      <c r="L1052" s="2">
        <v>386</v>
      </c>
      <c r="M1052" s="2" t="s">
        <v>23</v>
      </c>
      <c r="N1052" s="2" t="s">
        <v>24</v>
      </c>
      <c r="O1052" s="2" t="s">
        <v>56</v>
      </c>
      <c r="P1052" s="2" t="s">
        <v>57</v>
      </c>
      <c r="Q1052" s="2" t="s">
        <v>57</v>
      </c>
      <c r="R1052" s="2" t="s">
        <v>57</v>
      </c>
      <c r="S1052" s="5">
        <v>0.4</v>
      </c>
      <c r="T1052" s="2" t="s">
        <v>56</v>
      </c>
      <c r="U1052" s="2" t="s">
        <v>57</v>
      </c>
      <c r="V1052" s="6"/>
    </row>
  </sheetData>
  <sheetProtection algorithmName="SHA-512" hashValue="5IfBUnhjATPuJ5nAtK5qz68BGOOKjO+wIO5dFUSNydrwF59PT2UtrW60g3yOFOG74MQxnLleUZchTUu94UDCoA==" saltValue="8onvnP/8IcdkgM9j6hZHSA==" spinCount="100000" sheet="1" objects="1" scenarios="1" autoFilter="0"/>
  <autoFilter ref="A1:AO1052" xr:uid="{02BADD75-814B-4091-AE5D-AB24410BB702}"/>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A887-AB15-42F7-B8AC-056D6117634C}">
  <sheetPr>
    <tabColor theme="9" tint="0.59999389629810485"/>
  </sheetPr>
  <dimension ref="A1:V613"/>
  <sheetViews>
    <sheetView topLeftCell="K1" workbookViewId="0">
      <selection activeCell="S2" sqref="K2:S2"/>
    </sheetView>
  </sheetViews>
  <sheetFormatPr defaultColWidth="8.88671875" defaultRowHeight="13.8" outlineLevelCol="1" x14ac:dyDescent="0.3"/>
  <cols>
    <col min="1" max="1" width="17.44140625" style="41" customWidth="1"/>
    <col min="2" max="2" width="11" style="41" customWidth="1"/>
    <col min="3" max="3" width="15.6640625" style="41" customWidth="1"/>
    <col min="4" max="5" width="17.5546875" style="41" customWidth="1"/>
    <col min="6" max="6" width="16.44140625" style="41" customWidth="1"/>
    <col min="7" max="7" width="30.109375" style="41" customWidth="1"/>
    <col min="8" max="9" width="13.6640625" style="41" customWidth="1"/>
    <col min="10" max="10" width="14.5546875" style="41" customWidth="1"/>
    <col min="11" max="11" width="24.6640625" style="41" customWidth="1" outlineLevel="1"/>
    <col min="12" max="12" width="17.6640625" style="41" customWidth="1" outlineLevel="1"/>
    <col min="13" max="13" width="20.33203125" style="41" customWidth="1" outlineLevel="1"/>
    <col min="14" max="14" width="18.33203125" style="41" customWidth="1" outlineLevel="1"/>
    <col min="15" max="15" width="17" style="41" customWidth="1" outlineLevel="1"/>
    <col min="16" max="16" width="16.6640625" style="41" customWidth="1" outlineLevel="1"/>
    <col min="17" max="17" width="15.88671875" style="41" customWidth="1" outlineLevel="1"/>
    <col min="18" max="18" width="16.6640625" style="41" customWidth="1" outlineLevel="1"/>
    <col min="19" max="19" width="19.33203125" style="41" bestFit="1" customWidth="1"/>
    <col min="20" max="20" width="14.6640625" style="41"/>
    <col min="21" max="21" width="20.33203125" style="41" customWidth="1"/>
    <col min="22" max="16384" width="8.88671875" style="41"/>
  </cols>
  <sheetData>
    <row r="1" spans="1:22" x14ac:dyDescent="0.3">
      <c r="A1" s="41" t="s">
        <v>276</v>
      </c>
    </row>
    <row r="2" spans="1:22" ht="85.2" customHeight="1" thickBot="1" x14ac:dyDescent="0.35">
      <c r="A2" s="183" t="s">
        <v>0</v>
      </c>
      <c r="B2" s="184" t="s">
        <v>119</v>
      </c>
      <c r="C2" s="184" t="s">
        <v>2</v>
      </c>
      <c r="D2" s="185" t="s">
        <v>127</v>
      </c>
      <c r="E2" s="183"/>
      <c r="F2" s="183" t="s">
        <v>5</v>
      </c>
      <c r="G2" s="185" t="s">
        <v>6</v>
      </c>
      <c r="H2" s="185" t="s">
        <v>7</v>
      </c>
      <c r="I2" s="185" t="s">
        <v>123</v>
      </c>
      <c r="J2" s="186" t="s">
        <v>124</v>
      </c>
      <c r="K2" s="189" t="s">
        <v>12</v>
      </c>
      <c r="L2" s="189" t="s">
        <v>13</v>
      </c>
      <c r="M2" s="189" t="s">
        <v>14</v>
      </c>
      <c r="N2" s="189" t="s">
        <v>15</v>
      </c>
      <c r="O2" s="189" t="s">
        <v>16</v>
      </c>
      <c r="P2" s="189" t="s">
        <v>17</v>
      </c>
      <c r="Q2" s="189" t="s">
        <v>18</v>
      </c>
      <c r="R2" s="189" t="s">
        <v>19</v>
      </c>
      <c r="S2" s="189" t="s">
        <v>20</v>
      </c>
      <c r="T2" s="190" t="s">
        <v>87</v>
      </c>
      <c r="U2" s="190" t="s">
        <v>128</v>
      </c>
    </row>
    <row r="3" spans="1:22" x14ac:dyDescent="0.3">
      <c r="A3" s="41" t="s">
        <v>21</v>
      </c>
      <c r="B3" s="42">
        <v>14.006</v>
      </c>
      <c r="C3" s="42">
        <v>2000459773</v>
      </c>
      <c r="D3" s="84">
        <v>55.2</v>
      </c>
      <c r="E3" s="84"/>
      <c r="F3" s="43">
        <v>375</v>
      </c>
      <c r="G3" s="44">
        <v>525</v>
      </c>
      <c r="H3" s="44">
        <v>5</v>
      </c>
      <c r="I3" s="85">
        <v>3</v>
      </c>
      <c r="J3" s="46">
        <v>375</v>
      </c>
      <c r="K3" s="47" t="s">
        <v>23</v>
      </c>
      <c r="L3" s="47" t="s">
        <v>24</v>
      </c>
      <c r="M3" s="48">
        <v>205117</v>
      </c>
      <c r="N3" s="48">
        <v>3716</v>
      </c>
      <c r="O3" s="48">
        <v>69740</v>
      </c>
      <c r="P3" s="48">
        <v>274857</v>
      </c>
      <c r="Q3" s="49">
        <v>0.4</v>
      </c>
      <c r="R3" s="48">
        <v>109943</v>
      </c>
      <c r="S3" s="50">
        <v>384800</v>
      </c>
      <c r="T3" s="106">
        <f>IF(A3="Upgrade",IF(OR(H3=4,H3=5),_xlfn.XLOOKUP(I3,'Renewal Rates'!$A$22:$A$27,'Renewal Rates'!$B$22:$B$27,'Renewal Rates'!$B$27,0),'Renewal Rates'!$F$7),IF(A3="Renewal",100%,0%))</f>
        <v>0.21</v>
      </c>
      <c r="U3" s="68">
        <f>S3*T3</f>
        <v>80808</v>
      </c>
      <c r="V3" s="68"/>
    </row>
    <row r="4" spans="1:22" x14ac:dyDescent="0.3">
      <c r="A4" s="41" t="s">
        <v>21</v>
      </c>
      <c r="B4" s="51">
        <v>7.0019999999999998</v>
      </c>
      <c r="C4" s="51">
        <v>2000065222</v>
      </c>
      <c r="D4" s="86">
        <v>88.41</v>
      </c>
      <c r="E4" s="86"/>
      <c r="F4" s="52">
        <v>1200</v>
      </c>
      <c r="G4" s="53">
        <v>1500</v>
      </c>
      <c r="H4" s="53">
        <v>5</v>
      </c>
      <c r="I4" s="45">
        <v>3</v>
      </c>
      <c r="J4" s="41">
        <v>375</v>
      </c>
      <c r="K4" s="54" t="s">
        <v>23</v>
      </c>
      <c r="L4" s="54" t="s">
        <v>24</v>
      </c>
      <c r="M4" s="55">
        <v>744312</v>
      </c>
      <c r="N4" s="55">
        <v>8419</v>
      </c>
      <c r="O4" s="55">
        <v>253066</v>
      </c>
      <c r="P4" s="55">
        <v>997378</v>
      </c>
      <c r="Q4" s="56">
        <v>0.4</v>
      </c>
      <c r="R4" s="55">
        <v>398951</v>
      </c>
      <c r="S4" s="57">
        <v>1396328.58</v>
      </c>
      <c r="T4" s="106">
        <f>IF(A4="Upgrade",IF(OR(H4=4,H4=5),_xlfn.XLOOKUP(I4,'Renewal Rates'!$A$22:$A$27,'Renewal Rates'!$B$22:$B$27,'Renewal Rates'!$B$27,0),'Renewal Rates'!$F$7),IF(A4="Renewal",100%,0%))</f>
        <v>0.21</v>
      </c>
      <c r="U4" s="68">
        <f t="shared" ref="U4:U67" si="0">S4*T4</f>
        <v>293229.00180000003</v>
      </c>
      <c r="V4" s="68"/>
    </row>
    <row r="5" spans="1:22" x14ac:dyDescent="0.3">
      <c r="A5" s="41" t="s">
        <v>21</v>
      </c>
      <c r="B5" s="51">
        <v>8.02</v>
      </c>
      <c r="C5" s="51">
        <v>2000347154</v>
      </c>
      <c r="D5" s="86">
        <v>47.93</v>
      </c>
      <c r="E5" s="86"/>
      <c r="F5" s="52">
        <v>600</v>
      </c>
      <c r="G5" s="53">
        <v>975</v>
      </c>
      <c r="H5" s="53">
        <v>4</v>
      </c>
      <c r="I5" s="45">
        <v>2</v>
      </c>
      <c r="J5" s="41">
        <v>368</v>
      </c>
      <c r="K5" s="54" t="s">
        <v>23</v>
      </c>
      <c r="L5" s="54" t="s">
        <v>24</v>
      </c>
      <c r="M5" s="55">
        <v>292052</v>
      </c>
      <c r="N5" s="55">
        <v>6093</v>
      </c>
      <c r="O5" s="55">
        <v>99298</v>
      </c>
      <c r="P5" s="55">
        <v>391349</v>
      </c>
      <c r="Q5" s="56">
        <v>0.4</v>
      </c>
      <c r="R5" s="55">
        <v>156540</v>
      </c>
      <c r="S5" s="57">
        <v>547888.67000000004</v>
      </c>
      <c r="T5" s="106">
        <f>IF(A5="Upgrade",IF(OR(H5=4,H5=5),_xlfn.XLOOKUP(I5,'Renewal Rates'!$A$22:$A$27,'Renewal Rates'!$B$22:$B$27,'Renewal Rates'!$B$27,0),'Renewal Rates'!$F$7),IF(A5="Renewal",100%,0%))</f>
        <v>0</v>
      </c>
      <c r="U5" s="68">
        <f t="shared" si="0"/>
        <v>0</v>
      </c>
      <c r="V5" s="68"/>
    </row>
    <row r="6" spans="1:22" x14ac:dyDescent="0.3">
      <c r="A6" s="41" t="s">
        <v>21</v>
      </c>
      <c r="B6" s="51">
        <v>3.004</v>
      </c>
      <c r="C6" s="51">
        <v>2000322715</v>
      </c>
      <c r="D6" s="86">
        <v>62.149456000000001</v>
      </c>
      <c r="E6" s="86"/>
      <c r="F6" s="52">
        <v>1650</v>
      </c>
      <c r="G6" s="53">
        <v>2400</v>
      </c>
      <c r="H6" s="53">
        <v>5</v>
      </c>
      <c r="I6" s="45">
        <v>2</v>
      </c>
      <c r="J6" s="41">
        <v>375</v>
      </c>
      <c r="K6" s="54" t="s">
        <v>23</v>
      </c>
      <c r="L6" s="54" t="s">
        <v>24</v>
      </c>
      <c r="M6" s="55">
        <v>923324</v>
      </c>
      <c r="N6" s="55">
        <v>14857</v>
      </c>
      <c r="O6" s="55">
        <v>313930</v>
      </c>
      <c r="P6" s="55">
        <v>1237254</v>
      </c>
      <c r="Q6" s="56">
        <v>0.4</v>
      </c>
      <c r="R6" s="55">
        <v>494902</v>
      </c>
      <c r="S6" s="57">
        <v>1732155.66</v>
      </c>
      <c r="T6" s="106">
        <f>IF(A6="Upgrade",IF(OR(H6=4,H6=5),_xlfn.XLOOKUP(I6,'Renewal Rates'!$A$22:$A$27,'Renewal Rates'!$B$22:$B$27,'Renewal Rates'!$B$27,0),'Renewal Rates'!$F$7),IF(A6="Renewal",100%,0%))</f>
        <v>0</v>
      </c>
      <c r="U6" s="68">
        <f t="shared" si="0"/>
        <v>0</v>
      </c>
      <c r="V6" s="68"/>
    </row>
    <row r="7" spans="1:22" x14ac:dyDescent="0.3">
      <c r="A7" s="41" t="s">
        <v>21</v>
      </c>
      <c r="B7" s="51" t="s">
        <v>22</v>
      </c>
      <c r="C7" s="51">
        <v>2000827966</v>
      </c>
      <c r="D7" s="86">
        <v>11.13</v>
      </c>
      <c r="E7" s="86"/>
      <c r="F7" s="52">
        <v>300</v>
      </c>
      <c r="G7" s="53">
        <v>600</v>
      </c>
      <c r="H7" s="53">
        <v>4</v>
      </c>
      <c r="I7" s="45">
        <v>4</v>
      </c>
      <c r="J7" s="41">
        <v>375</v>
      </c>
      <c r="K7" s="54" t="s">
        <v>23</v>
      </c>
      <c r="L7" s="54" t="s">
        <v>24</v>
      </c>
      <c r="M7" s="55">
        <v>56614</v>
      </c>
      <c r="N7" s="55">
        <v>5088</v>
      </c>
      <c r="O7" s="55">
        <v>19249</v>
      </c>
      <c r="P7" s="55">
        <v>75863</v>
      </c>
      <c r="Q7" s="56">
        <v>0.4</v>
      </c>
      <c r="R7" s="55">
        <v>30345</v>
      </c>
      <c r="S7" s="57">
        <v>106207.52</v>
      </c>
      <c r="T7" s="106">
        <f>IF(A7="Upgrade",IF(OR(H7=4,H7=5),_xlfn.XLOOKUP(I7,'Renewal Rates'!$A$22:$A$27,'Renewal Rates'!$B$22:$B$27,'Renewal Rates'!$B$27,0),'Renewal Rates'!$F$7),IF(A7="Renewal",100%,0%))</f>
        <v>0.7</v>
      </c>
      <c r="U7" s="68">
        <f t="shared" si="0"/>
        <v>74345.263999999996</v>
      </c>
      <c r="V7" s="68"/>
    </row>
    <row r="8" spans="1:22" x14ac:dyDescent="0.3">
      <c r="A8" s="41" t="s">
        <v>21</v>
      </c>
      <c r="B8" s="51">
        <v>4.0129999999999999</v>
      </c>
      <c r="C8" s="51">
        <v>2000697423</v>
      </c>
      <c r="D8" s="86">
        <v>26.37</v>
      </c>
      <c r="E8" s="86"/>
      <c r="F8" s="52">
        <v>675</v>
      </c>
      <c r="G8" s="53">
        <v>1050</v>
      </c>
      <c r="H8" s="53">
        <v>5</v>
      </c>
      <c r="I8" s="45">
        <v>3</v>
      </c>
      <c r="J8" s="41">
        <v>374</v>
      </c>
      <c r="K8" s="54" t="s">
        <v>23</v>
      </c>
      <c r="L8" s="54" t="s">
        <v>24</v>
      </c>
      <c r="M8" s="55">
        <v>225604</v>
      </c>
      <c r="N8" s="55">
        <v>8773</v>
      </c>
      <c r="O8" s="55">
        <v>76705</v>
      </c>
      <c r="P8" s="55">
        <v>302309</v>
      </c>
      <c r="Q8" s="56">
        <v>0.4</v>
      </c>
      <c r="R8" s="55">
        <v>120924</v>
      </c>
      <c r="S8" s="57">
        <v>423233.10493799997</v>
      </c>
      <c r="T8" s="106">
        <f>IF(A8="Upgrade",IF(OR(H8=4,H8=5),_xlfn.XLOOKUP(I8,'Renewal Rates'!$A$22:$A$27,'Renewal Rates'!$B$22:$B$27,'Renewal Rates'!$B$27,0),'Renewal Rates'!$F$7),IF(A8="Renewal",100%,0%))</f>
        <v>0.21</v>
      </c>
      <c r="U8" s="68">
        <f t="shared" si="0"/>
        <v>88878.952036979987</v>
      </c>
      <c r="V8" s="68"/>
    </row>
    <row r="9" spans="1:22" x14ac:dyDescent="0.3">
      <c r="A9" s="41" t="s">
        <v>21</v>
      </c>
      <c r="B9" s="51" t="s">
        <v>22</v>
      </c>
      <c r="C9" s="51">
        <v>2000540230</v>
      </c>
      <c r="D9" s="86">
        <v>20.54</v>
      </c>
      <c r="E9" s="86"/>
      <c r="F9" s="52">
        <v>600</v>
      </c>
      <c r="G9" s="53">
        <v>1050</v>
      </c>
      <c r="H9" s="53">
        <v>4</v>
      </c>
      <c r="I9" s="45">
        <v>2</v>
      </c>
      <c r="J9" s="41">
        <v>374</v>
      </c>
      <c r="K9" s="54" t="s">
        <v>23</v>
      </c>
      <c r="L9" s="54" t="s">
        <v>24</v>
      </c>
      <c r="M9" s="55">
        <v>177462.47219999999</v>
      </c>
      <c r="N9" s="55">
        <v>8372.6512999999995</v>
      </c>
      <c r="O9" s="55">
        <v>60337.240548000002</v>
      </c>
      <c r="P9" s="55">
        <v>237799.71274799999</v>
      </c>
      <c r="Q9" s="56">
        <v>0.4</v>
      </c>
      <c r="R9" s="55">
        <v>95119.885099200008</v>
      </c>
      <c r="S9" s="57">
        <v>332919.5978472</v>
      </c>
      <c r="T9" s="106">
        <f>IF(A9="Upgrade",IF(OR(H9=4,H9=5),_xlfn.XLOOKUP(I9,'Renewal Rates'!$A$22:$A$27,'Renewal Rates'!$B$22:$B$27,'Renewal Rates'!$B$27,0),'Renewal Rates'!$F$7),IF(A9="Renewal",100%,0%))</f>
        <v>0</v>
      </c>
      <c r="U9" s="68">
        <f t="shared" si="0"/>
        <v>0</v>
      </c>
      <c r="V9" s="68"/>
    </row>
    <row r="10" spans="1:22" x14ac:dyDescent="0.3">
      <c r="A10" s="41" t="s">
        <v>21</v>
      </c>
      <c r="B10" s="51">
        <v>12.002000000000001</v>
      </c>
      <c r="C10" s="51">
        <v>2000441032</v>
      </c>
      <c r="D10" s="86">
        <v>16.91</v>
      </c>
      <c r="E10" s="86"/>
      <c r="F10" s="52">
        <v>1500</v>
      </c>
      <c r="G10" s="53">
        <v>1950</v>
      </c>
      <c r="H10" s="53">
        <v>5</v>
      </c>
      <c r="I10" s="45">
        <v>2</v>
      </c>
      <c r="J10" s="41">
        <v>377</v>
      </c>
      <c r="K10" s="54" t="s">
        <v>23</v>
      </c>
      <c r="L10" s="54" t="s">
        <v>24</v>
      </c>
      <c r="M10" s="55">
        <v>204835</v>
      </c>
      <c r="N10" s="55">
        <v>12114</v>
      </c>
      <c r="O10" s="55">
        <v>69644</v>
      </c>
      <c r="P10" s="55">
        <v>274480</v>
      </c>
      <c r="Q10" s="56">
        <v>0.4</v>
      </c>
      <c r="R10" s="55">
        <v>109792</v>
      </c>
      <c r="S10" s="57">
        <v>384272</v>
      </c>
      <c r="T10" s="106">
        <f>IF(A10="Upgrade",IF(OR(H10=4,H10=5),_xlfn.XLOOKUP(I10,'Renewal Rates'!$A$22:$A$27,'Renewal Rates'!$B$22:$B$27,'Renewal Rates'!$B$27,0),'Renewal Rates'!$F$7),IF(A10="Renewal",100%,0%))</f>
        <v>0</v>
      </c>
      <c r="U10" s="68">
        <f t="shared" si="0"/>
        <v>0</v>
      </c>
      <c r="V10" s="68"/>
    </row>
    <row r="11" spans="1:22" x14ac:dyDescent="0.3">
      <c r="A11" s="41" t="s">
        <v>21</v>
      </c>
      <c r="B11" s="51">
        <v>5.0049999999999999</v>
      </c>
      <c r="C11" s="51">
        <v>2000850039</v>
      </c>
      <c r="D11" s="86">
        <v>70.52</v>
      </c>
      <c r="E11" s="86"/>
      <c r="F11" s="52">
        <v>1500</v>
      </c>
      <c r="G11" s="53">
        <v>1800</v>
      </c>
      <c r="H11" s="53">
        <v>5</v>
      </c>
      <c r="I11" s="45">
        <v>3</v>
      </c>
      <c r="J11" s="41">
        <v>378</v>
      </c>
      <c r="K11" s="54" t="s">
        <v>23</v>
      </c>
      <c r="L11" s="54" t="s">
        <v>24</v>
      </c>
      <c r="M11" s="55">
        <v>842639</v>
      </c>
      <c r="N11" s="55">
        <v>10416</v>
      </c>
      <c r="O11" s="55">
        <v>286497</v>
      </c>
      <c r="P11" s="55">
        <v>1129136</v>
      </c>
      <c r="Q11" s="56">
        <v>0.4</v>
      </c>
      <c r="R11" s="55">
        <v>451654</v>
      </c>
      <c r="S11" s="57">
        <v>1580790</v>
      </c>
      <c r="T11" s="106">
        <f>IF(A11="Upgrade",IF(OR(H11=4,H11=5),_xlfn.XLOOKUP(I11,'Renewal Rates'!$A$22:$A$27,'Renewal Rates'!$B$22:$B$27,'Renewal Rates'!$B$27,0),'Renewal Rates'!$F$7),IF(A11="Renewal",100%,0%))</f>
        <v>0.21</v>
      </c>
      <c r="U11" s="68">
        <f t="shared" si="0"/>
        <v>331965.89999999997</v>
      </c>
      <c r="V11" s="68"/>
    </row>
    <row r="12" spans="1:22" x14ac:dyDescent="0.3">
      <c r="A12" s="41" t="s">
        <v>21</v>
      </c>
      <c r="B12" s="51">
        <v>5.0110000000000001</v>
      </c>
      <c r="C12" s="51">
        <v>2000370291</v>
      </c>
      <c r="D12" s="86">
        <v>13.95</v>
      </c>
      <c r="E12" s="86"/>
      <c r="F12" s="52">
        <v>675</v>
      </c>
      <c r="G12" s="53">
        <v>675</v>
      </c>
      <c r="H12" s="53" t="s">
        <v>122</v>
      </c>
      <c r="I12" s="45" t="s">
        <v>122</v>
      </c>
      <c r="J12" s="41">
        <v>378</v>
      </c>
      <c r="K12" s="54" t="s">
        <v>23</v>
      </c>
      <c r="L12" s="54" t="s">
        <v>24</v>
      </c>
      <c r="M12" s="55">
        <v>86138</v>
      </c>
      <c r="N12" s="55">
        <v>6176</v>
      </c>
      <c r="O12" s="55">
        <v>29287</v>
      </c>
      <c r="P12" s="55">
        <v>115425</v>
      </c>
      <c r="Q12" s="56">
        <v>0.4</v>
      </c>
      <c r="R12" s="55">
        <v>46170</v>
      </c>
      <c r="S12" s="57">
        <v>161595</v>
      </c>
      <c r="T12" s="106">
        <f>IF(A12="Upgrade",IF(OR(H12=4,H12=5),_xlfn.XLOOKUP(I12,'Renewal Rates'!$A$22:$A$27,'Renewal Rates'!$B$22:$B$27,'Renewal Rates'!$B$27,0),'Renewal Rates'!$F$7),IF(A12="Renewal",100%,0%))</f>
        <v>2.6599999999999999E-2</v>
      </c>
      <c r="U12" s="68">
        <f t="shared" si="0"/>
        <v>4298.4269999999997</v>
      </c>
      <c r="V12" s="68"/>
    </row>
    <row r="13" spans="1:22" x14ac:dyDescent="0.3">
      <c r="A13" s="41" t="s">
        <v>21</v>
      </c>
      <c r="B13" s="51">
        <v>15.004</v>
      </c>
      <c r="C13" s="51">
        <v>2000757638</v>
      </c>
      <c r="D13" s="86">
        <v>44.96</v>
      </c>
      <c r="E13" s="86"/>
      <c r="F13" s="52">
        <v>1500</v>
      </c>
      <c r="G13" s="53">
        <v>1950</v>
      </c>
      <c r="H13" s="53">
        <v>4</v>
      </c>
      <c r="I13" s="45">
        <v>2</v>
      </c>
      <c r="J13" s="41">
        <v>377</v>
      </c>
      <c r="K13" s="54" t="s">
        <v>23</v>
      </c>
      <c r="L13" s="54" t="s">
        <v>24</v>
      </c>
      <c r="M13" s="55">
        <v>524266</v>
      </c>
      <c r="N13" s="55">
        <v>11660</v>
      </c>
      <c r="O13" s="55">
        <v>178251</v>
      </c>
      <c r="P13" s="55">
        <v>702517</v>
      </c>
      <c r="Q13" s="56">
        <v>0.4</v>
      </c>
      <c r="R13" s="55">
        <v>281007</v>
      </c>
      <c r="S13" s="57">
        <v>983524</v>
      </c>
      <c r="T13" s="106">
        <f>IF(A13="Upgrade",IF(OR(H13=4,H13=5),_xlfn.XLOOKUP(I13,'Renewal Rates'!$A$22:$A$27,'Renewal Rates'!$B$22:$B$27,'Renewal Rates'!$B$27,0),'Renewal Rates'!$F$7),IF(A13="Renewal",100%,0%))</f>
        <v>0</v>
      </c>
      <c r="U13" s="68">
        <f t="shared" si="0"/>
        <v>0</v>
      </c>
      <c r="V13" s="68"/>
    </row>
    <row r="14" spans="1:22" x14ac:dyDescent="0.3">
      <c r="A14" s="41" t="s">
        <v>21</v>
      </c>
      <c r="B14" s="51">
        <v>5.0039999999999996</v>
      </c>
      <c r="C14" s="51">
        <v>2000083467</v>
      </c>
      <c r="D14" s="86">
        <v>88.63</v>
      </c>
      <c r="E14" s="86"/>
      <c r="F14" s="52">
        <v>900</v>
      </c>
      <c r="G14" s="53">
        <v>1800</v>
      </c>
      <c r="H14" s="53">
        <v>4</v>
      </c>
      <c r="I14" s="45">
        <v>2</v>
      </c>
      <c r="J14" s="41">
        <v>378</v>
      </c>
      <c r="K14" s="54" t="s">
        <v>23</v>
      </c>
      <c r="L14" s="54" t="s">
        <v>24</v>
      </c>
      <c r="M14" s="55">
        <v>917001</v>
      </c>
      <c r="N14" s="55">
        <v>10347</v>
      </c>
      <c r="O14" s="55">
        <v>311781</v>
      </c>
      <c r="P14" s="55">
        <v>1228782</v>
      </c>
      <c r="Q14" s="56">
        <v>0.4</v>
      </c>
      <c r="R14" s="55">
        <v>491513</v>
      </c>
      <c r="S14" s="57">
        <v>1720295</v>
      </c>
      <c r="T14" s="106">
        <f>IF(A14="Upgrade",IF(OR(H14=4,H14=5),_xlfn.XLOOKUP(I14,'Renewal Rates'!$A$22:$A$27,'Renewal Rates'!$B$22:$B$27,'Renewal Rates'!$B$27,0),'Renewal Rates'!$F$7),IF(A14="Renewal",100%,0%))</f>
        <v>0</v>
      </c>
      <c r="U14" s="68">
        <f t="shared" si="0"/>
        <v>0</v>
      </c>
      <c r="V14" s="68"/>
    </row>
    <row r="15" spans="1:22" x14ac:dyDescent="0.3">
      <c r="A15" s="41" t="s">
        <v>21</v>
      </c>
      <c r="B15" s="51">
        <v>5.0049999999999999</v>
      </c>
      <c r="C15" s="51">
        <v>2000009858</v>
      </c>
      <c r="D15" s="86">
        <v>34.619999999999997</v>
      </c>
      <c r="E15" s="86"/>
      <c r="F15" s="52">
        <v>1500</v>
      </c>
      <c r="G15" s="53">
        <v>1800</v>
      </c>
      <c r="H15" s="53">
        <v>5</v>
      </c>
      <c r="I15" s="45">
        <v>2</v>
      </c>
      <c r="J15" s="41">
        <v>378</v>
      </c>
      <c r="K15" s="54" t="s">
        <v>23</v>
      </c>
      <c r="L15" s="54" t="s">
        <v>24</v>
      </c>
      <c r="M15" s="55">
        <v>380612</v>
      </c>
      <c r="N15" s="55">
        <v>10907</v>
      </c>
      <c r="O15" s="55">
        <v>129408</v>
      </c>
      <c r="P15" s="55">
        <v>510021</v>
      </c>
      <c r="Q15" s="56">
        <v>0.4</v>
      </c>
      <c r="R15" s="55">
        <v>204008</v>
      </c>
      <c r="S15" s="57">
        <v>714029</v>
      </c>
      <c r="T15" s="106">
        <f>IF(A15="Upgrade",IF(OR(H15=4,H15=5),_xlfn.XLOOKUP(I15,'Renewal Rates'!$A$22:$A$27,'Renewal Rates'!$B$22:$B$27,'Renewal Rates'!$B$27,0),'Renewal Rates'!$F$7),IF(A15="Renewal",100%,0%))</f>
        <v>0</v>
      </c>
      <c r="U15" s="68">
        <f t="shared" si="0"/>
        <v>0</v>
      </c>
      <c r="V15" s="68"/>
    </row>
    <row r="16" spans="1:22" x14ac:dyDescent="0.3">
      <c r="A16" s="41" t="s">
        <v>21</v>
      </c>
      <c r="B16" s="51">
        <v>5.0179999999999998</v>
      </c>
      <c r="C16" s="51">
        <v>2000261318</v>
      </c>
      <c r="D16" s="86">
        <v>128.08000000000001</v>
      </c>
      <c r="E16" s="86"/>
      <c r="F16" s="52">
        <v>1500</v>
      </c>
      <c r="G16" s="53">
        <v>1800</v>
      </c>
      <c r="H16" s="53">
        <v>5</v>
      </c>
      <c r="I16" s="45">
        <v>3</v>
      </c>
      <c r="J16" s="41">
        <v>378</v>
      </c>
      <c r="K16" s="54" t="s">
        <v>23</v>
      </c>
      <c r="L16" s="54" t="s">
        <v>24</v>
      </c>
      <c r="M16" s="55">
        <v>1309077</v>
      </c>
      <c r="N16" s="55">
        <v>10221</v>
      </c>
      <c r="O16" s="55">
        <v>445086</v>
      </c>
      <c r="P16" s="55">
        <v>1754163</v>
      </c>
      <c r="Q16" s="56">
        <v>0.4</v>
      </c>
      <c r="R16" s="55">
        <v>701665</v>
      </c>
      <c r="S16" s="57">
        <v>2455828</v>
      </c>
      <c r="T16" s="106">
        <f>IF(A16="Upgrade",IF(OR(H16=4,H16=5),_xlfn.XLOOKUP(I16,'Renewal Rates'!$A$22:$A$27,'Renewal Rates'!$B$22:$B$27,'Renewal Rates'!$B$27,0),'Renewal Rates'!$F$7),IF(A16="Renewal",100%,0%))</f>
        <v>0.21</v>
      </c>
      <c r="U16" s="68">
        <f t="shared" si="0"/>
        <v>515723.88</v>
      </c>
      <c r="V16" s="68"/>
    </row>
    <row r="17" spans="1:22" x14ac:dyDescent="0.3">
      <c r="A17" s="41" t="s">
        <v>21</v>
      </c>
      <c r="B17" s="51">
        <v>5.0030000000000001</v>
      </c>
      <c r="C17" s="51">
        <v>2000591589</v>
      </c>
      <c r="D17" s="86">
        <v>69.239999999999995</v>
      </c>
      <c r="E17" s="86"/>
      <c r="F17" s="52">
        <v>1500</v>
      </c>
      <c r="G17" s="53">
        <v>1800</v>
      </c>
      <c r="H17" s="53">
        <v>5</v>
      </c>
      <c r="I17" s="45">
        <v>2</v>
      </c>
      <c r="J17" s="41">
        <v>378</v>
      </c>
      <c r="K17" s="54" t="s">
        <v>23</v>
      </c>
      <c r="L17" s="54" t="s">
        <v>24</v>
      </c>
      <c r="M17" s="55">
        <v>708171</v>
      </c>
      <c r="N17" s="55">
        <v>10228</v>
      </c>
      <c r="O17" s="55">
        <v>240778</v>
      </c>
      <c r="P17" s="55">
        <v>948950</v>
      </c>
      <c r="Q17" s="56">
        <v>0.4</v>
      </c>
      <c r="R17" s="55">
        <v>379580</v>
      </c>
      <c r="S17" s="57">
        <v>1328529.6399999999</v>
      </c>
      <c r="T17" s="106">
        <f>IF(A17="Upgrade",IF(OR(H17=4,H17=5),_xlfn.XLOOKUP(I17,'Renewal Rates'!$A$22:$A$27,'Renewal Rates'!$B$22:$B$27,'Renewal Rates'!$B$27,0),'Renewal Rates'!$F$7),IF(A17="Renewal",100%,0%))</f>
        <v>0</v>
      </c>
      <c r="U17" s="68">
        <f t="shared" si="0"/>
        <v>0</v>
      </c>
      <c r="V17" s="68"/>
    </row>
    <row r="18" spans="1:22" x14ac:dyDescent="0.3">
      <c r="A18" s="41" t="s">
        <v>21</v>
      </c>
      <c r="B18" s="51">
        <v>12.003</v>
      </c>
      <c r="C18" s="51">
        <v>2000623492</v>
      </c>
      <c r="D18" s="86">
        <v>128.16</v>
      </c>
      <c r="E18" s="86"/>
      <c r="F18" s="52">
        <v>1500</v>
      </c>
      <c r="G18" s="53">
        <v>1950</v>
      </c>
      <c r="H18" s="53">
        <v>5</v>
      </c>
      <c r="I18" s="45">
        <v>2</v>
      </c>
      <c r="J18" s="41">
        <v>377</v>
      </c>
      <c r="K18" s="54" t="s">
        <v>23</v>
      </c>
      <c r="L18" s="54" t="s">
        <v>24</v>
      </c>
      <c r="M18" s="55">
        <v>1465874</v>
      </c>
      <c r="N18" s="55">
        <v>11438</v>
      </c>
      <c r="O18" s="55">
        <v>498397</v>
      </c>
      <c r="P18" s="55">
        <v>1964271</v>
      </c>
      <c r="Q18" s="56">
        <v>0.4</v>
      </c>
      <c r="R18" s="55">
        <v>785709</v>
      </c>
      <c r="S18" s="57">
        <v>2749979.81</v>
      </c>
      <c r="T18" s="106">
        <f>IF(A18="Upgrade",IF(OR(H18=4,H18=5),_xlfn.XLOOKUP(I18,'Renewal Rates'!$A$22:$A$27,'Renewal Rates'!$B$22:$B$27,'Renewal Rates'!$B$27,0),'Renewal Rates'!$F$7),IF(A18="Renewal",100%,0%))</f>
        <v>0</v>
      </c>
      <c r="U18" s="68">
        <f t="shared" si="0"/>
        <v>0</v>
      </c>
      <c r="V18" s="68"/>
    </row>
    <row r="19" spans="1:22" x14ac:dyDescent="0.3">
      <c r="A19" s="41" t="s">
        <v>21</v>
      </c>
      <c r="B19" s="51">
        <v>5.0030000000000001</v>
      </c>
      <c r="C19" s="51">
        <v>2000542364</v>
      </c>
      <c r="D19" s="86">
        <v>39.53</v>
      </c>
      <c r="E19" s="86"/>
      <c r="F19" s="52">
        <v>1500</v>
      </c>
      <c r="G19" s="53">
        <v>1800</v>
      </c>
      <c r="H19" s="53">
        <v>5</v>
      </c>
      <c r="I19" s="45">
        <v>2</v>
      </c>
      <c r="J19" s="41">
        <v>378</v>
      </c>
      <c r="K19" s="54" t="s">
        <v>23</v>
      </c>
      <c r="L19" s="54" t="s">
        <v>24</v>
      </c>
      <c r="M19" s="55">
        <v>420684</v>
      </c>
      <c r="N19" s="55">
        <v>10642</v>
      </c>
      <c r="O19" s="55">
        <v>143033</v>
      </c>
      <c r="P19" s="55">
        <v>563716</v>
      </c>
      <c r="Q19" s="56">
        <v>0.4</v>
      </c>
      <c r="R19" s="55">
        <v>225487</v>
      </c>
      <c r="S19" s="57">
        <v>789203.08</v>
      </c>
      <c r="T19" s="106">
        <f>IF(A19="Upgrade",IF(OR(H19=4,H19=5),_xlfn.XLOOKUP(I19,'Renewal Rates'!$A$22:$A$27,'Renewal Rates'!$B$22:$B$27,'Renewal Rates'!$B$27,0),'Renewal Rates'!$F$7),IF(A19="Renewal",100%,0%))</f>
        <v>0</v>
      </c>
      <c r="U19" s="68">
        <f t="shared" si="0"/>
        <v>0</v>
      </c>
      <c r="V19" s="68"/>
    </row>
    <row r="20" spans="1:22" x14ac:dyDescent="0.3">
      <c r="A20" s="41" t="s">
        <v>21</v>
      </c>
      <c r="B20" s="51">
        <v>5.0049999999999999</v>
      </c>
      <c r="C20" s="51">
        <v>2000333419</v>
      </c>
      <c r="D20" s="86">
        <v>86.64</v>
      </c>
      <c r="E20" s="86"/>
      <c r="F20" s="52">
        <v>1500</v>
      </c>
      <c r="G20" s="53">
        <v>1800</v>
      </c>
      <c r="H20" s="53">
        <v>5</v>
      </c>
      <c r="I20" s="45">
        <v>2</v>
      </c>
      <c r="J20" s="41">
        <v>378</v>
      </c>
      <c r="K20" s="54" t="s">
        <v>23</v>
      </c>
      <c r="L20" s="54" t="s">
        <v>24</v>
      </c>
      <c r="M20" s="55">
        <v>880608</v>
      </c>
      <c r="N20" s="55">
        <v>10363</v>
      </c>
      <c r="O20" s="55">
        <v>299407</v>
      </c>
      <c r="P20" s="55">
        <v>1180014</v>
      </c>
      <c r="Q20" s="56">
        <v>0.4</v>
      </c>
      <c r="R20" s="55">
        <v>472006</v>
      </c>
      <c r="S20" s="57">
        <v>1652019.96</v>
      </c>
      <c r="T20" s="106">
        <f>IF(A20="Upgrade",IF(OR(H20=4,H20=5),_xlfn.XLOOKUP(I20,'Renewal Rates'!$A$22:$A$27,'Renewal Rates'!$B$22:$B$27,'Renewal Rates'!$B$27,0),'Renewal Rates'!$F$7),IF(A20="Renewal",100%,0%))</f>
        <v>0</v>
      </c>
      <c r="U20" s="68">
        <f t="shared" si="0"/>
        <v>0</v>
      </c>
      <c r="V20" s="68"/>
    </row>
    <row r="21" spans="1:22" x14ac:dyDescent="0.3">
      <c r="A21" s="41" t="s">
        <v>21</v>
      </c>
      <c r="B21" s="51">
        <v>5.0039999999999996</v>
      </c>
      <c r="C21" s="51">
        <v>2000174187</v>
      </c>
      <c r="D21" s="86">
        <v>16.03</v>
      </c>
      <c r="E21" s="86"/>
      <c r="F21" s="52">
        <v>900</v>
      </c>
      <c r="G21" s="53">
        <v>1800</v>
      </c>
      <c r="H21" s="53">
        <v>4</v>
      </c>
      <c r="I21" s="45">
        <v>1</v>
      </c>
      <c r="J21" s="41">
        <v>378</v>
      </c>
      <c r="K21" s="54" t="s">
        <v>23</v>
      </c>
      <c r="L21" s="54" t="s">
        <v>24</v>
      </c>
      <c r="M21" s="55">
        <v>173740</v>
      </c>
      <c r="N21" s="55">
        <v>10838</v>
      </c>
      <c r="O21" s="55">
        <v>59072</v>
      </c>
      <c r="P21" s="55">
        <v>232812</v>
      </c>
      <c r="Q21" s="56">
        <v>0.4</v>
      </c>
      <c r="R21" s="55">
        <v>93125</v>
      </c>
      <c r="S21" s="57">
        <v>325936.7</v>
      </c>
      <c r="T21" s="106">
        <f>IF(A21="Upgrade",IF(OR(H21=4,H21=5),_xlfn.XLOOKUP(I21,'Renewal Rates'!$A$22:$A$27,'Renewal Rates'!$B$22:$B$27,'Renewal Rates'!$B$27,0),'Renewal Rates'!$F$7),IF(A21="Renewal",100%,0%))</f>
        <v>0</v>
      </c>
      <c r="U21" s="68">
        <f t="shared" si="0"/>
        <v>0</v>
      </c>
      <c r="V21" s="68"/>
    </row>
    <row r="22" spans="1:22" x14ac:dyDescent="0.3">
      <c r="A22" s="41" t="s">
        <v>21</v>
      </c>
      <c r="B22" s="51">
        <v>12.002000000000001</v>
      </c>
      <c r="C22" s="51">
        <v>2000307972</v>
      </c>
      <c r="D22" s="86">
        <v>14.532845</v>
      </c>
      <c r="E22" s="86"/>
      <c r="F22" s="52">
        <v>1500</v>
      </c>
      <c r="G22" s="53">
        <v>1950</v>
      </c>
      <c r="H22" s="53">
        <v>4</v>
      </c>
      <c r="I22" s="45">
        <v>1</v>
      </c>
      <c r="J22" s="41">
        <v>377</v>
      </c>
      <c r="K22" s="54" t="s">
        <v>23</v>
      </c>
      <c r="L22" s="54" t="s">
        <v>24</v>
      </c>
      <c r="M22" s="55">
        <v>172385</v>
      </c>
      <c r="N22" s="55">
        <v>11862</v>
      </c>
      <c r="O22" s="55">
        <v>58611</v>
      </c>
      <c r="P22" s="55">
        <v>230996</v>
      </c>
      <c r="Q22" s="56">
        <v>0.4</v>
      </c>
      <c r="R22" s="55">
        <v>92398</v>
      </c>
      <c r="S22" s="57">
        <v>323394.62</v>
      </c>
      <c r="T22" s="106">
        <f>IF(A22="Upgrade",IF(OR(H22=4,H22=5),_xlfn.XLOOKUP(I22,'Renewal Rates'!$A$22:$A$27,'Renewal Rates'!$B$22:$B$27,'Renewal Rates'!$B$27,0),'Renewal Rates'!$F$7),IF(A22="Renewal",100%,0%))</f>
        <v>0</v>
      </c>
      <c r="U22" s="68">
        <f t="shared" si="0"/>
        <v>0</v>
      </c>
      <c r="V22" s="68"/>
    </row>
    <row r="23" spans="1:22" x14ac:dyDescent="0.3">
      <c r="A23" s="41" t="s">
        <v>21</v>
      </c>
      <c r="B23" s="51">
        <v>5.0179999999999998</v>
      </c>
      <c r="C23" s="51">
        <v>2000682349</v>
      </c>
      <c r="D23" s="86">
        <v>79.09</v>
      </c>
      <c r="E23" s="86"/>
      <c r="F23" s="52">
        <v>1600</v>
      </c>
      <c r="G23" s="53">
        <v>1800</v>
      </c>
      <c r="H23" s="53">
        <v>5</v>
      </c>
      <c r="I23" s="45">
        <v>1</v>
      </c>
      <c r="J23" s="41">
        <v>378</v>
      </c>
      <c r="K23" s="54" t="s">
        <v>23</v>
      </c>
      <c r="L23" s="54" t="s">
        <v>24</v>
      </c>
      <c r="M23" s="55">
        <v>813159</v>
      </c>
      <c r="N23" s="55">
        <v>10282</v>
      </c>
      <c r="O23" s="55">
        <v>276474</v>
      </c>
      <c r="P23" s="55">
        <v>1089634</v>
      </c>
      <c r="Q23" s="56">
        <v>0.4</v>
      </c>
      <c r="R23" s="55">
        <v>435853</v>
      </c>
      <c r="S23" s="57">
        <v>1525487.06</v>
      </c>
      <c r="T23" s="106">
        <f>IF(A23="Upgrade",IF(OR(H23=4,H23=5),_xlfn.XLOOKUP(I23,'Renewal Rates'!$A$22:$A$27,'Renewal Rates'!$B$22:$B$27,'Renewal Rates'!$B$27,0),'Renewal Rates'!$F$7),IF(A23="Renewal",100%,0%))</f>
        <v>0</v>
      </c>
      <c r="U23" s="68">
        <f t="shared" si="0"/>
        <v>0</v>
      </c>
      <c r="V23" s="68"/>
    </row>
    <row r="24" spans="1:22" x14ac:dyDescent="0.3">
      <c r="A24" s="41" t="s">
        <v>21</v>
      </c>
      <c r="B24" s="51">
        <v>5.0039999999999996</v>
      </c>
      <c r="C24" s="51">
        <v>2000485570</v>
      </c>
      <c r="D24" s="86">
        <v>83.06</v>
      </c>
      <c r="E24" s="86"/>
      <c r="F24" s="52">
        <v>1500</v>
      </c>
      <c r="G24" s="53">
        <v>1800</v>
      </c>
      <c r="H24" s="53">
        <v>5</v>
      </c>
      <c r="I24" s="45">
        <v>3</v>
      </c>
      <c r="J24" s="41">
        <v>378</v>
      </c>
      <c r="K24" s="54" t="s">
        <v>23</v>
      </c>
      <c r="L24" s="54" t="s">
        <v>24</v>
      </c>
      <c r="M24" s="55">
        <v>850763</v>
      </c>
      <c r="N24" s="55">
        <v>10242</v>
      </c>
      <c r="O24" s="55">
        <v>289259</v>
      </c>
      <c r="P24" s="55">
        <v>1140022</v>
      </c>
      <c r="Q24" s="56">
        <v>0.4</v>
      </c>
      <c r="R24" s="55">
        <v>456009</v>
      </c>
      <c r="S24" s="57">
        <v>1596030.74</v>
      </c>
      <c r="T24" s="106">
        <f>IF(A24="Upgrade",IF(OR(H24=4,H24=5),_xlfn.XLOOKUP(I24,'Renewal Rates'!$A$22:$A$27,'Renewal Rates'!$B$22:$B$27,'Renewal Rates'!$B$27,0),'Renewal Rates'!$F$7),IF(A24="Renewal",100%,0%))</f>
        <v>0.21</v>
      </c>
      <c r="U24" s="68">
        <f t="shared" si="0"/>
        <v>335166.45539999998</v>
      </c>
      <c r="V24" s="68"/>
    </row>
    <row r="25" spans="1:22" x14ac:dyDescent="0.3">
      <c r="A25" s="41" t="s">
        <v>21</v>
      </c>
      <c r="B25" s="51">
        <v>12.002000000000001</v>
      </c>
      <c r="C25" s="51">
        <v>2000377707</v>
      </c>
      <c r="D25" s="86">
        <v>26.59</v>
      </c>
      <c r="E25" s="86"/>
      <c r="F25" s="52">
        <v>1500</v>
      </c>
      <c r="G25" s="53">
        <v>1950</v>
      </c>
      <c r="H25" s="53">
        <v>4</v>
      </c>
      <c r="I25" s="45">
        <v>1</v>
      </c>
      <c r="J25" s="41">
        <v>377</v>
      </c>
      <c r="K25" s="54" t="s">
        <v>23</v>
      </c>
      <c r="L25" s="54" t="s">
        <v>24</v>
      </c>
      <c r="M25" s="55">
        <v>312662</v>
      </c>
      <c r="N25" s="55">
        <v>11759</v>
      </c>
      <c r="O25" s="55">
        <v>106305</v>
      </c>
      <c r="P25" s="55">
        <v>418967</v>
      </c>
      <c r="Q25" s="56">
        <v>0.4</v>
      </c>
      <c r="R25" s="55">
        <v>167587</v>
      </c>
      <c r="S25" s="57">
        <v>586554.43999999994</v>
      </c>
      <c r="T25" s="106">
        <f>IF(A25="Upgrade",IF(OR(H25=4,H25=5),_xlfn.XLOOKUP(I25,'Renewal Rates'!$A$22:$A$27,'Renewal Rates'!$B$22:$B$27,'Renewal Rates'!$B$27,0),'Renewal Rates'!$F$7),IF(A25="Renewal",100%,0%))</f>
        <v>0</v>
      </c>
      <c r="U25" s="68">
        <f t="shared" si="0"/>
        <v>0</v>
      </c>
      <c r="V25" s="68"/>
    </row>
    <row r="26" spans="1:22" x14ac:dyDescent="0.3">
      <c r="A26" s="41" t="s">
        <v>21</v>
      </c>
      <c r="B26" s="51">
        <v>12.005000000000001</v>
      </c>
      <c r="C26" s="51">
        <v>2000012504</v>
      </c>
      <c r="D26" s="86">
        <v>61.622531000000002</v>
      </c>
      <c r="E26" s="86"/>
      <c r="F26" s="52">
        <v>1500</v>
      </c>
      <c r="G26" s="53">
        <v>1800</v>
      </c>
      <c r="H26" s="53">
        <v>5</v>
      </c>
      <c r="I26" s="45">
        <v>3</v>
      </c>
      <c r="J26" s="41">
        <v>385</v>
      </c>
      <c r="K26" s="54" t="s">
        <v>23</v>
      </c>
      <c r="L26" s="54" t="s">
        <v>24</v>
      </c>
      <c r="M26" s="55">
        <v>601116</v>
      </c>
      <c r="N26" s="55">
        <v>10216</v>
      </c>
      <c r="O26" s="55">
        <v>204379</v>
      </c>
      <c r="P26" s="55">
        <v>805495</v>
      </c>
      <c r="Q26" s="56">
        <v>0.4</v>
      </c>
      <c r="R26" s="55">
        <v>322198</v>
      </c>
      <c r="S26" s="57">
        <v>1127693.42</v>
      </c>
      <c r="T26" s="106">
        <f>IF(A26="Upgrade",IF(OR(H26=4,H26=5),_xlfn.XLOOKUP(I26,'Renewal Rates'!$A$22:$A$27,'Renewal Rates'!$B$22:$B$27,'Renewal Rates'!$B$27,0),'Renewal Rates'!$F$7),IF(A26="Renewal",100%,0%))</f>
        <v>0.21</v>
      </c>
      <c r="U26" s="68">
        <f t="shared" si="0"/>
        <v>236815.61819999997</v>
      </c>
      <c r="V26" s="68"/>
    </row>
    <row r="27" spans="1:22" x14ac:dyDescent="0.3">
      <c r="A27" s="41" t="s">
        <v>21</v>
      </c>
      <c r="B27" s="51">
        <v>5.0039999999999996</v>
      </c>
      <c r="C27" s="51">
        <v>2000937601</v>
      </c>
      <c r="D27" s="86">
        <v>32.26</v>
      </c>
      <c r="E27" s="86"/>
      <c r="F27" s="52">
        <v>900</v>
      </c>
      <c r="G27" s="53">
        <v>1800</v>
      </c>
      <c r="H27" s="53">
        <v>4</v>
      </c>
      <c r="I27" s="45">
        <v>1</v>
      </c>
      <c r="J27" s="41">
        <v>378</v>
      </c>
      <c r="K27" s="54" t="s">
        <v>23</v>
      </c>
      <c r="L27" s="54" t="s">
        <v>24</v>
      </c>
      <c r="M27" s="55">
        <v>348050</v>
      </c>
      <c r="N27" s="55">
        <v>10788</v>
      </c>
      <c r="O27" s="55">
        <v>118337</v>
      </c>
      <c r="P27" s="55">
        <v>466387</v>
      </c>
      <c r="Q27" s="56">
        <v>0.4</v>
      </c>
      <c r="R27" s="55">
        <v>186555</v>
      </c>
      <c r="S27" s="57">
        <v>652941.22</v>
      </c>
      <c r="T27" s="106">
        <f>IF(A27="Upgrade",IF(OR(H27=4,H27=5),_xlfn.XLOOKUP(I27,'Renewal Rates'!$A$22:$A$27,'Renewal Rates'!$B$22:$B$27,'Renewal Rates'!$B$27,0),'Renewal Rates'!$F$7),IF(A27="Renewal",100%,0%))</f>
        <v>0</v>
      </c>
      <c r="U27" s="68">
        <f t="shared" si="0"/>
        <v>0</v>
      </c>
      <c r="V27" s="68"/>
    </row>
    <row r="28" spans="1:22" x14ac:dyDescent="0.3">
      <c r="A28" s="41" t="s">
        <v>21</v>
      </c>
      <c r="B28" s="51">
        <v>5.0049999999999999</v>
      </c>
      <c r="C28" s="51">
        <v>2000475294</v>
      </c>
      <c r="D28" s="86">
        <v>9.27</v>
      </c>
      <c r="E28" s="86"/>
      <c r="F28" s="52">
        <v>1500</v>
      </c>
      <c r="G28" s="53">
        <v>1800</v>
      </c>
      <c r="H28" s="53">
        <v>5</v>
      </c>
      <c r="I28" s="45">
        <v>2</v>
      </c>
      <c r="J28" s="41">
        <v>378</v>
      </c>
      <c r="K28" s="54" t="s">
        <v>23</v>
      </c>
      <c r="L28" s="54" t="s">
        <v>24</v>
      </c>
      <c r="M28" s="55">
        <v>133873</v>
      </c>
      <c r="N28" s="55">
        <v>11692</v>
      </c>
      <c r="O28" s="55">
        <v>45517</v>
      </c>
      <c r="P28" s="55">
        <v>179390</v>
      </c>
      <c r="Q28" s="56">
        <v>0.4</v>
      </c>
      <c r="R28" s="55">
        <v>71756</v>
      </c>
      <c r="S28" s="57">
        <v>251145.58</v>
      </c>
      <c r="T28" s="106">
        <f>IF(A28="Upgrade",IF(OR(H28=4,H28=5),_xlfn.XLOOKUP(I28,'Renewal Rates'!$A$22:$A$27,'Renewal Rates'!$B$22:$B$27,'Renewal Rates'!$B$27,0),'Renewal Rates'!$F$7),IF(A28="Renewal",100%,0%))</f>
        <v>0</v>
      </c>
      <c r="U28" s="68">
        <f t="shared" si="0"/>
        <v>0</v>
      </c>
      <c r="V28" s="68"/>
    </row>
    <row r="29" spans="1:22" x14ac:dyDescent="0.3">
      <c r="A29" s="41" t="s">
        <v>21</v>
      </c>
      <c r="B29" s="51">
        <v>5.0030000000000001</v>
      </c>
      <c r="C29" s="51">
        <v>2000779415</v>
      </c>
      <c r="D29" s="86">
        <v>122.32</v>
      </c>
      <c r="E29" s="86"/>
      <c r="F29" s="52">
        <v>1350</v>
      </c>
      <c r="G29" s="53">
        <v>1800</v>
      </c>
      <c r="H29" s="53">
        <v>5</v>
      </c>
      <c r="I29" s="45">
        <v>1</v>
      </c>
      <c r="J29" s="41">
        <v>378</v>
      </c>
      <c r="K29" s="54" t="s">
        <v>23</v>
      </c>
      <c r="L29" s="54" t="s">
        <v>24</v>
      </c>
      <c r="M29" s="55">
        <v>1264790</v>
      </c>
      <c r="N29" s="55">
        <v>10340</v>
      </c>
      <c r="O29" s="55">
        <v>430029</v>
      </c>
      <c r="P29" s="55">
        <v>1694818</v>
      </c>
      <c r="Q29" s="56">
        <v>0.4</v>
      </c>
      <c r="R29" s="55">
        <v>677927</v>
      </c>
      <c r="S29" s="57">
        <v>2372745.7000000002</v>
      </c>
      <c r="T29" s="106">
        <f>IF(A29="Upgrade",IF(OR(H29=4,H29=5),_xlfn.XLOOKUP(I29,'Renewal Rates'!$A$22:$A$27,'Renewal Rates'!$B$22:$B$27,'Renewal Rates'!$B$27,0),'Renewal Rates'!$F$7),IF(A29="Renewal",100%,0%))</f>
        <v>0</v>
      </c>
      <c r="U29" s="68">
        <f t="shared" si="0"/>
        <v>0</v>
      </c>
      <c r="V29" s="68"/>
    </row>
    <row r="30" spans="1:22" x14ac:dyDescent="0.3">
      <c r="A30" s="41" t="s">
        <v>21</v>
      </c>
      <c r="B30" s="51">
        <v>12.002000000000001</v>
      </c>
      <c r="C30" s="51">
        <v>2000341756</v>
      </c>
      <c r="D30" s="86">
        <v>81.709999999999994</v>
      </c>
      <c r="E30" s="86"/>
      <c r="F30" s="52">
        <v>1500</v>
      </c>
      <c r="G30" s="53">
        <v>1950</v>
      </c>
      <c r="H30" s="53">
        <v>5</v>
      </c>
      <c r="I30" s="45">
        <v>1</v>
      </c>
      <c r="J30" s="41">
        <v>377</v>
      </c>
      <c r="K30" s="54" t="s">
        <v>23</v>
      </c>
      <c r="L30" s="54" t="s">
        <v>24</v>
      </c>
      <c r="M30" s="55">
        <v>941082</v>
      </c>
      <c r="N30" s="55">
        <v>11518</v>
      </c>
      <c r="O30" s="55">
        <v>319968</v>
      </c>
      <c r="P30" s="55">
        <v>1261050</v>
      </c>
      <c r="Q30" s="56">
        <v>0.4</v>
      </c>
      <c r="R30" s="55">
        <v>504420</v>
      </c>
      <c r="S30" s="57">
        <v>1765469.38</v>
      </c>
      <c r="T30" s="106">
        <f>IF(A30="Upgrade",IF(OR(H30=4,H30=5),_xlfn.XLOOKUP(I30,'Renewal Rates'!$A$22:$A$27,'Renewal Rates'!$B$22:$B$27,'Renewal Rates'!$B$27,0),'Renewal Rates'!$F$7),IF(A30="Renewal",100%,0%))</f>
        <v>0</v>
      </c>
      <c r="U30" s="68">
        <f t="shared" si="0"/>
        <v>0</v>
      </c>
      <c r="V30" s="68"/>
    </row>
    <row r="31" spans="1:22" x14ac:dyDescent="0.3">
      <c r="A31" s="41" t="s">
        <v>21</v>
      </c>
      <c r="B31" s="51">
        <v>11.019</v>
      </c>
      <c r="C31" s="51">
        <v>2000072076</v>
      </c>
      <c r="D31" s="86">
        <v>41.5</v>
      </c>
      <c r="E31" s="86"/>
      <c r="F31" s="52">
        <v>825</v>
      </c>
      <c r="G31" s="53">
        <v>1275</v>
      </c>
      <c r="H31" s="53" t="s">
        <v>122</v>
      </c>
      <c r="I31" s="45" t="s">
        <v>122</v>
      </c>
      <c r="J31" s="41">
        <v>377</v>
      </c>
      <c r="K31" s="54" t="s">
        <v>23</v>
      </c>
      <c r="L31" s="54" t="s">
        <v>24</v>
      </c>
      <c r="M31" s="55">
        <v>289943</v>
      </c>
      <c r="N31" s="55">
        <v>6987</v>
      </c>
      <c r="O31" s="55">
        <v>98581</v>
      </c>
      <c r="P31" s="55">
        <v>388524</v>
      </c>
      <c r="Q31" s="56">
        <v>0.4</v>
      </c>
      <c r="R31" s="55">
        <v>155409</v>
      </c>
      <c r="S31" s="57">
        <v>543933.16</v>
      </c>
      <c r="T31" s="106">
        <f>IF(A31="Upgrade",IF(OR(H31=4,H31=5),_xlfn.XLOOKUP(I31,'Renewal Rates'!$A$22:$A$27,'Renewal Rates'!$B$22:$B$27,'Renewal Rates'!$B$27,0),'Renewal Rates'!$F$7),IF(A31="Renewal",100%,0%))</f>
        <v>2.6599999999999999E-2</v>
      </c>
      <c r="U31" s="68">
        <f t="shared" si="0"/>
        <v>14468.622056</v>
      </c>
      <c r="V31" s="68"/>
    </row>
    <row r="32" spans="1:22" x14ac:dyDescent="0.3">
      <c r="A32" s="41" t="s">
        <v>21</v>
      </c>
      <c r="B32" s="51">
        <v>11.019</v>
      </c>
      <c r="C32" s="51">
        <v>2000129299</v>
      </c>
      <c r="D32" s="86">
        <v>80.55</v>
      </c>
      <c r="E32" s="86"/>
      <c r="F32" s="52">
        <v>825</v>
      </c>
      <c r="G32" s="53">
        <v>1275</v>
      </c>
      <c r="H32" s="53" t="s">
        <v>122</v>
      </c>
      <c r="I32" s="45" t="s">
        <v>122</v>
      </c>
      <c r="J32" s="41">
        <v>377</v>
      </c>
      <c r="K32" s="54" t="s">
        <v>23</v>
      </c>
      <c r="L32" s="54" t="s">
        <v>24</v>
      </c>
      <c r="M32" s="55">
        <v>545416</v>
      </c>
      <c r="N32" s="55">
        <v>6771</v>
      </c>
      <c r="O32" s="55">
        <v>185442</v>
      </c>
      <c r="P32" s="55">
        <v>730858</v>
      </c>
      <c r="Q32" s="56">
        <v>0.4</v>
      </c>
      <c r="R32" s="55">
        <v>292343</v>
      </c>
      <c r="S32" s="57">
        <v>1023201.25</v>
      </c>
      <c r="T32" s="106">
        <f>IF(A32="Upgrade",IF(OR(H32=4,H32=5),_xlfn.XLOOKUP(I32,'Renewal Rates'!$A$22:$A$27,'Renewal Rates'!$B$22:$B$27,'Renewal Rates'!$B$27,0),'Renewal Rates'!$F$7),IF(A32="Renewal",100%,0%))</f>
        <v>2.6599999999999999E-2</v>
      </c>
      <c r="U32" s="68">
        <f t="shared" si="0"/>
        <v>27217.153249999999</v>
      </c>
      <c r="V32" s="68"/>
    </row>
    <row r="33" spans="1:22" x14ac:dyDescent="0.3">
      <c r="A33" s="41" t="s">
        <v>21</v>
      </c>
      <c r="B33" s="51">
        <v>11.016</v>
      </c>
      <c r="C33" s="51">
        <v>2000036366</v>
      </c>
      <c r="D33" s="86">
        <v>66.23</v>
      </c>
      <c r="E33" s="86"/>
      <c r="F33" s="52">
        <v>750</v>
      </c>
      <c r="G33" s="53">
        <v>1200</v>
      </c>
      <c r="H33" s="53">
        <v>4</v>
      </c>
      <c r="I33" s="45">
        <v>2</v>
      </c>
      <c r="J33" s="41">
        <v>377</v>
      </c>
      <c r="K33" s="54" t="s">
        <v>23</v>
      </c>
      <c r="L33" s="54" t="s">
        <v>24</v>
      </c>
      <c r="M33" s="55">
        <v>508774</v>
      </c>
      <c r="N33" s="55">
        <v>7682</v>
      </c>
      <c r="O33" s="55">
        <v>172983</v>
      </c>
      <c r="P33" s="55">
        <v>681757</v>
      </c>
      <c r="Q33" s="56">
        <v>0.4</v>
      </c>
      <c r="R33" s="55">
        <v>272703</v>
      </c>
      <c r="S33" s="57">
        <v>954459.13</v>
      </c>
      <c r="T33" s="106">
        <f>IF(A33="Upgrade",IF(OR(H33=4,H33=5),_xlfn.XLOOKUP(I33,'Renewal Rates'!$A$22:$A$27,'Renewal Rates'!$B$22:$B$27,'Renewal Rates'!$B$27,0),'Renewal Rates'!$F$7),IF(A33="Renewal",100%,0%))</f>
        <v>0</v>
      </c>
      <c r="U33" s="68">
        <f t="shared" si="0"/>
        <v>0</v>
      </c>
      <c r="V33" s="68"/>
    </row>
    <row r="34" spans="1:22" x14ac:dyDescent="0.3">
      <c r="A34" s="41" t="s">
        <v>21</v>
      </c>
      <c r="B34" s="51">
        <v>11.02</v>
      </c>
      <c r="C34" s="51">
        <v>2000589094</v>
      </c>
      <c r="D34" s="86">
        <v>13</v>
      </c>
      <c r="E34" s="86"/>
      <c r="F34" s="52">
        <v>825</v>
      </c>
      <c r="G34" s="53">
        <v>1350</v>
      </c>
      <c r="H34" s="53" t="s">
        <v>122</v>
      </c>
      <c r="I34" s="45" t="s">
        <v>122</v>
      </c>
      <c r="J34" s="41">
        <v>377</v>
      </c>
      <c r="K34" s="54" t="s">
        <v>23</v>
      </c>
      <c r="L34" s="54" t="s">
        <v>24</v>
      </c>
      <c r="M34" s="55">
        <v>106160</v>
      </c>
      <c r="N34" s="55">
        <v>8167</v>
      </c>
      <c r="O34" s="55">
        <v>36094</v>
      </c>
      <c r="P34" s="55">
        <v>142255</v>
      </c>
      <c r="Q34" s="56">
        <v>0.4</v>
      </c>
      <c r="R34" s="55">
        <v>56902</v>
      </c>
      <c r="S34" s="57">
        <v>199156.6</v>
      </c>
      <c r="T34" s="106">
        <f>IF(A34="Upgrade",IF(OR(H34=4,H34=5),_xlfn.XLOOKUP(I34,'Renewal Rates'!$A$22:$A$27,'Renewal Rates'!$B$22:$B$27,'Renewal Rates'!$B$27,0),'Renewal Rates'!$F$7),IF(A34="Renewal",100%,0%))</f>
        <v>2.6599999999999999E-2</v>
      </c>
      <c r="U34" s="68">
        <f t="shared" si="0"/>
        <v>5297.56556</v>
      </c>
      <c r="V34" s="68"/>
    </row>
    <row r="35" spans="1:22" x14ac:dyDescent="0.3">
      <c r="A35" s="41" t="s">
        <v>21</v>
      </c>
      <c r="B35" s="51">
        <v>11.013</v>
      </c>
      <c r="C35" s="51">
        <v>2000635991</v>
      </c>
      <c r="D35" s="86">
        <v>26.36</v>
      </c>
      <c r="E35" s="86"/>
      <c r="F35" s="52">
        <v>600</v>
      </c>
      <c r="G35" s="53">
        <v>975</v>
      </c>
      <c r="H35" s="53" t="s">
        <v>122</v>
      </c>
      <c r="I35" s="45" t="s">
        <v>122</v>
      </c>
      <c r="J35" s="41">
        <v>377</v>
      </c>
      <c r="K35" s="54" t="s">
        <v>23</v>
      </c>
      <c r="L35" s="54" t="s">
        <v>24</v>
      </c>
      <c r="M35" s="55">
        <v>183971</v>
      </c>
      <c r="N35" s="55">
        <v>6979</v>
      </c>
      <c r="O35" s="55">
        <v>62550</v>
      </c>
      <c r="P35" s="55">
        <v>246521</v>
      </c>
      <c r="Q35" s="56">
        <v>0.4</v>
      </c>
      <c r="R35" s="55">
        <v>98608</v>
      </c>
      <c r="S35" s="57">
        <v>345128.97</v>
      </c>
      <c r="T35" s="106">
        <f>IF(A35="Upgrade",IF(OR(H35=4,H35=5),_xlfn.XLOOKUP(I35,'Renewal Rates'!$A$22:$A$27,'Renewal Rates'!$B$22:$B$27,'Renewal Rates'!$B$27,0),'Renewal Rates'!$F$7),IF(A35="Renewal",100%,0%))</f>
        <v>2.6599999999999999E-2</v>
      </c>
      <c r="U35" s="68">
        <f t="shared" si="0"/>
        <v>9180.4306019999985</v>
      </c>
      <c r="V35" s="68"/>
    </row>
    <row r="36" spans="1:22" x14ac:dyDescent="0.3">
      <c r="A36" s="41" t="s">
        <v>21</v>
      </c>
      <c r="B36" s="51">
        <v>11.012</v>
      </c>
      <c r="C36" s="51">
        <v>2000926339</v>
      </c>
      <c r="D36" s="86">
        <v>42.93</v>
      </c>
      <c r="E36" s="86"/>
      <c r="F36" s="52">
        <v>600</v>
      </c>
      <c r="G36" s="53">
        <v>825</v>
      </c>
      <c r="H36" s="53" t="s">
        <v>122</v>
      </c>
      <c r="I36" s="45" t="s">
        <v>122</v>
      </c>
      <c r="J36" s="41">
        <v>377</v>
      </c>
      <c r="K36" s="54" t="s">
        <v>23</v>
      </c>
      <c r="L36" s="54" t="s">
        <v>24</v>
      </c>
      <c r="M36" s="55">
        <v>192253</v>
      </c>
      <c r="N36" s="55">
        <v>4478</v>
      </c>
      <c r="O36" s="55">
        <v>65366</v>
      </c>
      <c r="P36" s="55">
        <v>257619</v>
      </c>
      <c r="Q36" s="56">
        <v>0.4</v>
      </c>
      <c r="R36" s="55">
        <v>103048</v>
      </c>
      <c r="S36" s="57">
        <v>360667.25</v>
      </c>
      <c r="T36" s="106">
        <f>IF(A36="Upgrade",IF(OR(H36=4,H36=5),_xlfn.XLOOKUP(I36,'Renewal Rates'!$A$22:$A$27,'Renewal Rates'!$B$22:$B$27,'Renewal Rates'!$B$27,0),'Renewal Rates'!$F$7),IF(A36="Renewal",100%,0%))</f>
        <v>2.6599999999999999E-2</v>
      </c>
      <c r="U36" s="68">
        <f t="shared" si="0"/>
        <v>9593.7488499999999</v>
      </c>
      <c r="V36" s="68"/>
    </row>
    <row r="37" spans="1:22" x14ac:dyDescent="0.3">
      <c r="A37" s="41" t="s">
        <v>21</v>
      </c>
      <c r="B37" s="51">
        <v>11.012</v>
      </c>
      <c r="C37" s="51">
        <v>2000584847</v>
      </c>
      <c r="D37" s="86">
        <v>65.010000000000005</v>
      </c>
      <c r="E37" s="86"/>
      <c r="F37" s="52">
        <v>525</v>
      </c>
      <c r="G37" s="53">
        <v>825</v>
      </c>
      <c r="H37" s="53">
        <v>5</v>
      </c>
      <c r="I37" s="45">
        <v>4</v>
      </c>
      <c r="J37" s="41">
        <v>377</v>
      </c>
      <c r="K37" s="54" t="s">
        <v>23</v>
      </c>
      <c r="L37" s="54" t="s">
        <v>24</v>
      </c>
      <c r="M37" s="55">
        <v>308241</v>
      </c>
      <c r="N37" s="55">
        <v>4742</v>
      </c>
      <c r="O37" s="55">
        <v>104802</v>
      </c>
      <c r="P37" s="55">
        <v>413043</v>
      </c>
      <c r="Q37" s="56">
        <v>0.4</v>
      </c>
      <c r="R37" s="55">
        <v>165217</v>
      </c>
      <c r="S37" s="57">
        <v>578260.49</v>
      </c>
      <c r="T37" s="106">
        <f>IF(A37="Upgrade",IF(OR(H37=4,H37=5),_xlfn.XLOOKUP(I37,'Renewal Rates'!$A$22:$A$27,'Renewal Rates'!$B$22:$B$27,'Renewal Rates'!$B$27,0),'Renewal Rates'!$F$7),IF(A37="Renewal",100%,0%))</f>
        <v>0.7</v>
      </c>
      <c r="U37" s="68">
        <f t="shared" si="0"/>
        <v>404782.34299999999</v>
      </c>
      <c r="V37" s="68"/>
    </row>
    <row r="38" spans="1:22" x14ac:dyDescent="0.3">
      <c r="A38" s="41" t="s">
        <v>21</v>
      </c>
      <c r="B38" s="51">
        <v>11.026999999999999</v>
      </c>
      <c r="C38" s="51">
        <v>2000540878</v>
      </c>
      <c r="D38" s="86">
        <v>83.099772000000002</v>
      </c>
      <c r="E38" s="86"/>
      <c r="F38" s="52">
        <v>900</v>
      </c>
      <c r="G38" s="53">
        <v>1650</v>
      </c>
      <c r="H38" s="53" t="s">
        <v>122</v>
      </c>
      <c r="I38" s="45" t="s">
        <v>122</v>
      </c>
      <c r="J38" s="41">
        <v>385</v>
      </c>
      <c r="K38" s="54" t="s">
        <v>23</v>
      </c>
      <c r="L38" s="54" t="s">
        <v>24</v>
      </c>
      <c r="M38" s="55">
        <v>778611</v>
      </c>
      <c r="N38" s="55">
        <v>9350</v>
      </c>
      <c r="O38" s="55">
        <v>264728</v>
      </c>
      <c r="P38" s="55">
        <v>1043339</v>
      </c>
      <c r="Q38" s="56">
        <v>0.4</v>
      </c>
      <c r="R38" s="55">
        <v>417336</v>
      </c>
      <c r="S38" s="57">
        <v>1460674.27</v>
      </c>
      <c r="T38" s="106">
        <f>IF(A38="Upgrade",IF(OR(H38=4,H38=5),_xlfn.XLOOKUP(I38,'Renewal Rates'!$A$22:$A$27,'Renewal Rates'!$B$22:$B$27,'Renewal Rates'!$B$27,0),'Renewal Rates'!$F$7),IF(A38="Renewal",100%,0%))</f>
        <v>2.6599999999999999E-2</v>
      </c>
      <c r="U38" s="68">
        <f t="shared" si="0"/>
        <v>38853.935581999998</v>
      </c>
      <c r="V38" s="68"/>
    </row>
    <row r="39" spans="1:22" x14ac:dyDescent="0.3">
      <c r="A39" s="41" t="s">
        <v>21</v>
      </c>
      <c r="B39" s="51">
        <v>11.013</v>
      </c>
      <c r="C39" s="51">
        <v>2000008121</v>
      </c>
      <c r="D39" s="86">
        <v>49.92</v>
      </c>
      <c r="E39" s="86"/>
      <c r="F39" s="52">
        <v>600</v>
      </c>
      <c r="G39" s="53">
        <v>975</v>
      </c>
      <c r="H39" s="53" t="s">
        <v>122</v>
      </c>
      <c r="I39" s="45" t="s">
        <v>122</v>
      </c>
      <c r="J39" s="41">
        <v>377</v>
      </c>
      <c r="K39" s="54" t="s">
        <v>23</v>
      </c>
      <c r="L39" s="54" t="s">
        <v>24</v>
      </c>
      <c r="M39" s="55">
        <v>334752</v>
      </c>
      <c r="N39" s="55">
        <v>6705</v>
      </c>
      <c r="O39" s="55">
        <v>113816</v>
      </c>
      <c r="P39" s="55">
        <v>448568</v>
      </c>
      <c r="Q39" s="56">
        <v>0.4</v>
      </c>
      <c r="R39" s="55">
        <v>179427</v>
      </c>
      <c r="S39" s="57">
        <v>627995.44999999995</v>
      </c>
      <c r="T39" s="106">
        <f>IF(A39="Upgrade",IF(OR(H39=4,H39=5),_xlfn.XLOOKUP(I39,'Renewal Rates'!$A$22:$A$27,'Renewal Rates'!$B$22:$B$27,'Renewal Rates'!$B$27,0),'Renewal Rates'!$F$7),IF(A39="Renewal",100%,0%))</f>
        <v>2.6599999999999999E-2</v>
      </c>
      <c r="U39" s="68">
        <f t="shared" si="0"/>
        <v>16704.678969999997</v>
      </c>
      <c r="V39" s="68"/>
    </row>
    <row r="40" spans="1:22" x14ac:dyDescent="0.3">
      <c r="A40" s="41" t="s">
        <v>21</v>
      </c>
      <c r="B40" s="51">
        <v>11.018000000000001</v>
      </c>
      <c r="C40" s="51">
        <v>2000251787</v>
      </c>
      <c r="D40" s="86">
        <v>57.16</v>
      </c>
      <c r="E40" s="86"/>
      <c r="F40" s="52">
        <v>825</v>
      </c>
      <c r="G40" s="53">
        <v>1275</v>
      </c>
      <c r="H40" s="53" t="s">
        <v>122</v>
      </c>
      <c r="I40" s="45" t="s">
        <v>122</v>
      </c>
      <c r="J40" s="41">
        <v>377</v>
      </c>
      <c r="K40" s="54" t="s">
        <v>23</v>
      </c>
      <c r="L40" s="54" t="s">
        <v>24</v>
      </c>
      <c r="M40" s="55">
        <v>395181</v>
      </c>
      <c r="N40" s="55">
        <v>6928</v>
      </c>
      <c r="O40" s="55">
        <v>134361</v>
      </c>
      <c r="P40" s="55">
        <v>529542</v>
      </c>
      <c r="Q40" s="56">
        <v>0.4</v>
      </c>
      <c r="R40" s="55">
        <v>211817</v>
      </c>
      <c r="S40" s="57">
        <v>741358.96</v>
      </c>
      <c r="T40" s="106">
        <f>IF(A40="Upgrade",IF(OR(H40=4,H40=5),_xlfn.XLOOKUP(I40,'Renewal Rates'!$A$22:$A$27,'Renewal Rates'!$B$22:$B$27,'Renewal Rates'!$B$27,0),'Renewal Rates'!$F$7),IF(A40="Renewal",100%,0%))</f>
        <v>2.6599999999999999E-2</v>
      </c>
      <c r="U40" s="68">
        <f t="shared" si="0"/>
        <v>19720.148335999998</v>
      </c>
      <c r="V40" s="68"/>
    </row>
    <row r="41" spans="1:22" x14ac:dyDescent="0.3">
      <c r="A41" s="41" t="s">
        <v>21</v>
      </c>
      <c r="B41" s="51">
        <v>11.015000000000001</v>
      </c>
      <c r="C41" s="51">
        <v>3000021735</v>
      </c>
      <c r="D41" s="86">
        <v>10.39</v>
      </c>
      <c r="E41" s="86"/>
      <c r="F41" s="52">
        <v>900</v>
      </c>
      <c r="G41" s="53">
        <v>1200</v>
      </c>
      <c r="H41" s="53" t="s">
        <v>122</v>
      </c>
      <c r="I41" s="45" t="s">
        <v>122</v>
      </c>
      <c r="J41" s="41">
        <v>377</v>
      </c>
      <c r="K41" s="54" t="s">
        <v>23</v>
      </c>
      <c r="L41" s="54" t="s">
        <v>24</v>
      </c>
      <c r="M41" s="55">
        <v>112816</v>
      </c>
      <c r="N41" s="55">
        <v>10854</v>
      </c>
      <c r="O41" s="55">
        <v>38358</v>
      </c>
      <c r="P41" s="55">
        <v>151174</v>
      </c>
      <c r="Q41" s="56">
        <v>0.4</v>
      </c>
      <c r="R41" s="55">
        <v>60469</v>
      </c>
      <c r="S41" s="57">
        <v>211643.21</v>
      </c>
      <c r="T41" s="106">
        <f>IF(A41="Upgrade",IF(OR(H41=4,H41=5),_xlfn.XLOOKUP(I41,'Renewal Rates'!$A$22:$A$27,'Renewal Rates'!$B$22:$B$27,'Renewal Rates'!$B$27,0),'Renewal Rates'!$F$7),IF(A41="Renewal",100%,0%))</f>
        <v>2.6599999999999999E-2</v>
      </c>
      <c r="U41" s="68">
        <f t="shared" si="0"/>
        <v>5629.7093859999995</v>
      </c>
      <c r="V41" s="68"/>
    </row>
    <row r="42" spans="1:22" x14ac:dyDescent="0.3">
      <c r="A42" s="41" t="s">
        <v>21</v>
      </c>
      <c r="B42" s="51">
        <v>11.013</v>
      </c>
      <c r="C42" s="51">
        <v>2000760262</v>
      </c>
      <c r="D42" s="86">
        <v>16.93</v>
      </c>
      <c r="E42" s="86"/>
      <c r="F42" s="52">
        <v>600</v>
      </c>
      <c r="G42" s="53">
        <v>975</v>
      </c>
      <c r="H42" s="53" t="s">
        <v>122</v>
      </c>
      <c r="I42" s="45" t="s">
        <v>122</v>
      </c>
      <c r="J42" s="41">
        <v>377</v>
      </c>
      <c r="K42" s="54" t="s">
        <v>23</v>
      </c>
      <c r="L42" s="54" t="s">
        <v>24</v>
      </c>
      <c r="M42" s="55">
        <v>143780</v>
      </c>
      <c r="N42" s="55">
        <v>8493</v>
      </c>
      <c r="O42" s="55">
        <v>48885</v>
      </c>
      <c r="P42" s="55">
        <v>192665</v>
      </c>
      <c r="Q42" s="56">
        <v>0.4</v>
      </c>
      <c r="R42" s="55">
        <v>77066</v>
      </c>
      <c r="S42" s="57">
        <v>269730.48</v>
      </c>
      <c r="T42" s="106">
        <f>IF(A42="Upgrade",IF(OR(H42=4,H42=5),_xlfn.XLOOKUP(I42,'Renewal Rates'!$A$22:$A$27,'Renewal Rates'!$B$22:$B$27,'Renewal Rates'!$B$27,0),'Renewal Rates'!$F$7),IF(A42="Renewal",100%,0%))</f>
        <v>2.6599999999999999E-2</v>
      </c>
      <c r="U42" s="68">
        <f t="shared" si="0"/>
        <v>7174.8307679999989</v>
      </c>
      <c r="V42" s="68"/>
    </row>
    <row r="43" spans="1:22" x14ac:dyDescent="0.3">
      <c r="A43" s="41" t="s">
        <v>21</v>
      </c>
      <c r="B43" s="51">
        <v>11.026999999999999</v>
      </c>
      <c r="C43" s="51">
        <v>2000066206</v>
      </c>
      <c r="D43" s="86">
        <v>5.97</v>
      </c>
      <c r="E43" s="86"/>
      <c r="F43" s="52">
        <v>900</v>
      </c>
      <c r="G43" s="53">
        <v>1650</v>
      </c>
      <c r="H43" s="53" t="s">
        <v>122</v>
      </c>
      <c r="I43" s="45" t="s">
        <v>122</v>
      </c>
      <c r="J43" s="41">
        <v>385</v>
      </c>
      <c r="K43" s="54" t="s">
        <v>23</v>
      </c>
      <c r="L43" s="54" t="s">
        <v>24</v>
      </c>
      <c r="M43" s="55">
        <v>66781</v>
      </c>
      <c r="N43" s="55">
        <v>11178</v>
      </c>
      <c r="O43" s="55">
        <v>22705</v>
      </c>
      <c r="P43" s="55">
        <v>89486</v>
      </c>
      <c r="Q43" s="56">
        <v>0.4</v>
      </c>
      <c r="R43" s="55">
        <v>35794</v>
      </c>
      <c r="S43" s="57">
        <v>125280.34</v>
      </c>
      <c r="T43" s="106">
        <f>IF(A43="Upgrade",IF(OR(H43=4,H43=5),_xlfn.XLOOKUP(I43,'Renewal Rates'!$A$22:$A$27,'Renewal Rates'!$B$22:$B$27,'Renewal Rates'!$B$27,0),'Renewal Rates'!$F$7),IF(A43="Renewal",100%,0%))</f>
        <v>2.6599999999999999E-2</v>
      </c>
      <c r="U43" s="68">
        <f t="shared" si="0"/>
        <v>3332.4570439999998</v>
      </c>
      <c r="V43" s="68"/>
    </row>
    <row r="44" spans="1:22" x14ac:dyDescent="0.3">
      <c r="A44" s="41" t="s">
        <v>21</v>
      </c>
      <c r="B44" s="51">
        <v>11.02</v>
      </c>
      <c r="C44" s="51">
        <v>2000136909</v>
      </c>
      <c r="D44" s="86">
        <v>53.77</v>
      </c>
      <c r="E44" s="86"/>
      <c r="F44" s="52">
        <v>825</v>
      </c>
      <c r="G44" s="53">
        <v>1350</v>
      </c>
      <c r="H44" s="53" t="s">
        <v>122</v>
      </c>
      <c r="I44" s="45" t="s">
        <v>122</v>
      </c>
      <c r="J44" s="41">
        <v>377</v>
      </c>
      <c r="K44" s="54" t="s">
        <v>23</v>
      </c>
      <c r="L44" s="54" t="s">
        <v>24</v>
      </c>
      <c r="M44" s="55">
        <v>219738</v>
      </c>
      <c r="N44" s="55">
        <v>7362</v>
      </c>
      <c r="O44" s="55">
        <v>74711</v>
      </c>
      <c r="P44" s="55">
        <v>294449</v>
      </c>
      <c r="Q44" s="56">
        <v>0.4</v>
      </c>
      <c r="R44" s="55">
        <v>117779</v>
      </c>
      <c r="S44" s="57">
        <v>412227.89</v>
      </c>
      <c r="T44" s="106">
        <f>IF(A44="Upgrade",IF(OR(H44=4,H44=5),_xlfn.XLOOKUP(I44,'Renewal Rates'!$A$22:$A$27,'Renewal Rates'!$B$22:$B$27,'Renewal Rates'!$B$27,0),'Renewal Rates'!$F$7),IF(A44="Renewal",100%,0%))</f>
        <v>2.6599999999999999E-2</v>
      </c>
      <c r="U44" s="68">
        <f t="shared" si="0"/>
        <v>10965.261874</v>
      </c>
      <c r="V44" s="68"/>
    </row>
    <row r="45" spans="1:22" x14ac:dyDescent="0.3">
      <c r="A45" s="41" t="s">
        <v>21</v>
      </c>
      <c r="B45" s="51">
        <v>11.015000000000001</v>
      </c>
      <c r="C45" s="51">
        <v>3000021733</v>
      </c>
      <c r="D45" s="86">
        <v>15.81</v>
      </c>
      <c r="E45" s="86"/>
      <c r="F45" s="52">
        <v>900</v>
      </c>
      <c r="G45" s="53">
        <v>1200</v>
      </c>
      <c r="H45" s="53" t="s">
        <v>122</v>
      </c>
      <c r="I45" s="45" t="s">
        <v>122</v>
      </c>
      <c r="J45" s="41">
        <v>377</v>
      </c>
      <c r="K45" s="54" t="s">
        <v>23</v>
      </c>
      <c r="L45" s="54" t="s">
        <v>24</v>
      </c>
      <c r="M45" s="55">
        <v>148283</v>
      </c>
      <c r="N45" s="55">
        <v>9380</v>
      </c>
      <c r="O45" s="55">
        <v>50416</v>
      </c>
      <c r="P45" s="55">
        <v>198700</v>
      </c>
      <c r="Q45" s="56">
        <v>0.4</v>
      </c>
      <c r="R45" s="55">
        <v>79480</v>
      </c>
      <c r="S45" s="57">
        <v>278179.67</v>
      </c>
      <c r="T45" s="106">
        <f>IF(A45="Upgrade",IF(OR(H45=4,H45=5),_xlfn.XLOOKUP(I45,'Renewal Rates'!$A$22:$A$27,'Renewal Rates'!$B$22:$B$27,'Renewal Rates'!$B$27,0),'Renewal Rates'!$F$7),IF(A45="Renewal",100%,0%))</f>
        <v>2.6599999999999999E-2</v>
      </c>
      <c r="U45" s="68">
        <f t="shared" si="0"/>
        <v>7399.5792219999994</v>
      </c>
      <c r="V45" s="68"/>
    </row>
    <row r="46" spans="1:22" x14ac:dyDescent="0.3">
      <c r="A46" s="41" t="s">
        <v>21</v>
      </c>
      <c r="B46" s="51">
        <v>11.015000000000001</v>
      </c>
      <c r="C46" s="51">
        <v>2000405181</v>
      </c>
      <c r="D46" s="86">
        <v>65.849999999999994</v>
      </c>
      <c r="E46" s="86"/>
      <c r="F46" s="52">
        <v>900</v>
      </c>
      <c r="G46" s="53">
        <v>1200</v>
      </c>
      <c r="H46" s="53">
        <v>5</v>
      </c>
      <c r="I46" s="45">
        <v>3</v>
      </c>
      <c r="J46" s="41">
        <v>377</v>
      </c>
      <c r="K46" s="54" t="s">
        <v>23</v>
      </c>
      <c r="L46" s="54" t="s">
        <v>24</v>
      </c>
      <c r="M46" s="55">
        <v>507890</v>
      </c>
      <c r="N46" s="55">
        <v>7712</v>
      </c>
      <c r="O46" s="55">
        <v>172683</v>
      </c>
      <c r="P46" s="55">
        <v>680573</v>
      </c>
      <c r="Q46" s="56">
        <v>0.4</v>
      </c>
      <c r="R46" s="55">
        <v>272229</v>
      </c>
      <c r="S46" s="57">
        <v>952801.93</v>
      </c>
      <c r="T46" s="106">
        <f>IF(A46="Upgrade",IF(OR(H46=4,H46=5),_xlfn.XLOOKUP(I46,'Renewal Rates'!$A$22:$A$27,'Renewal Rates'!$B$22:$B$27,'Renewal Rates'!$B$27,0),'Renewal Rates'!$F$7),IF(A46="Renewal",100%,0%))</f>
        <v>0.21</v>
      </c>
      <c r="U46" s="68">
        <f t="shared" si="0"/>
        <v>200088.40530000001</v>
      </c>
      <c r="V46" s="68"/>
    </row>
    <row r="47" spans="1:22" x14ac:dyDescent="0.3">
      <c r="A47" s="41" t="s">
        <v>21</v>
      </c>
      <c r="B47" s="51">
        <v>11.016999999999999</v>
      </c>
      <c r="C47" s="51">
        <v>2000225664</v>
      </c>
      <c r="D47" s="86">
        <v>69.900000000000006</v>
      </c>
      <c r="E47" s="86"/>
      <c r="F47" s="52">
        <v>825</v>
      </c>
      <c r="G47" s="53">
        <v>1200</v>
      </c>
      <c r="H47" s="53" t="s">
        <v>122</v>
      </c>
      <c r="I47" s="45" t="s">
        <v>122</v>
      </c>
      <c r="J47" s="41">
        <v>377</v>
      </c>
      <c r="K47" s="54" t="s">
        <v>23</v>
      </c>
      <c r="L47" s="54" t="s">
        <v>24</v>
      </c>
      <c r="M47" s="55">
        <v>540515</v>
      </c>
      <c r="N47" s="55">
        <v>7714</v>
      </c>
      <c r="O47" s="55">
        <v>183775</v>
      </c>
      <c r="P47" s="55">
        <v>724290</v>
      </c>
      <c r="Q47" s="56">
        <v>0.4</v>
      </c>
      <c r="R47" s="55">
        <v>289716</v>
      </c>
      <c r="S47" s="57">
        <v>1014005.61</v>
      </c>
      <c r="T47" s="106">
        <f>IF(A47="Upgrade",IF(OR(H47=4,H47=5),_xlfn.XLOOKUP(I47,'Renewal Rates'!$A$22:$A$27,'Renewal Rates'!$B$22:$B$27,'Renewal Rates'!$B$27,0),'Renewal Rates'!$F$7),IF(A47="Renewal",100%,0%))</f>
        <v>2.6599999999999999E-2</v>
      </c>
      <c r="U47" s="68">
        <f t="shared" si="0"/>
        <v>26972.549225999999</v>
      </c>
      <c r="V47" s="68"/>
    </row>
    <row r="48" spans="1:22" x14ac:dyDescent="0.3">
      <c r="A48" s="41" t="s">
        <v>21</v>
      </c>
      <c r="B48" s="51" t="s">
        <v>36</v>
      </c>
      <c r="C48" s="51">
        <v>2000650272</v>
      </c>
      <c r="D48" s="86">
        <v>12.59</v>
      </c>
      <c r="E48" s="86"/>
      <c r="F48" s="52">
        <v>1350</v>
      </c>
      <c r="G48" s="53">
        <v>1800</v>
      </c>
      <c r="H48" s="53" t="s">
        <v>122</v>
      </c>
      <c r="I48" s="45" t="s">
        <v>122</v>
      </c>
      <c r="J48" s="41">
        <v>385</v>
      </c>
      <c r="K48" s="54" t="s">
        <v>23</v>
      </c>
      <c r="L48" s="54" t="s">
        <v>24</v>
      </c>
      <c r="M48" s="55">
        <v>138133</v>
      </c>
      <c r="N48" s="55">
        <v>10975</v>
      </c>
      <c r="O48" s="55">
        <v>46965</v>
      </c>
      <c r="P48" s="55">
        <v>185098</v>
      </c>
      <c r="Q48" s="56">
        <v>0.4</v>
      </c>
      <c r="R48" s="55">
        <v>74039</v>
      </c>
      <c r="S48" s="57">
        <v>259137.45</v>
      </c>
      <c r="T48" s="106">
        <f>IF(A48="Upgrade",IF(OR(H48=4,H48=5),_xlfn.XLOOKUP(I48,'Renewal Rates'!$A$22:$A$27,'Renewal Rates'!$B$22:$B$27,'Renewal Rates'!$B$27,0),'Renewal Rates'!$F$7),IF(A48="Renewal",100%,0%))</f>
        <v>2.6599999999999999E-2</v>
      </c>
      <c r="U48" s="68">
        <f t="shared" si="0"/>
        <v>6893.0561699999998</v>
      </c>
      <c r="V48" s="68"/>
    </row>
    <row r="49" spans="1:22" x14ac:dyDescent="0.3">
      <c r="A49" s="41" t="s">
        <v>21</v>
      </c>
      <c r="B49" s="51">
        <v>11.013999999999999</v>
      </c>
      <c r="C49" s="51">
        <v>2000676989</v>
      </c>
      <c r="D49" s="86">
        <v>40.31</v>
      </c>
      <c r="E49" s="86"/>
      <c r="F49" s="52">
        <v>750</v>
      </c>
      <c r="G49" s="53">
        <v>1050</v>
      </c>
      <c r="H49" s="53" t="s">
        <v>122</v>
      </c>
      <c r="I49" s="45" t="s">
        <v>122</v>
      </c>
      <c r="J49" s="41">
        <v>377</v>
      </c>
      <c r="K49" s="54" t="s">
        <v>23</v>
      </c>
      <c r="L49" s="54" t="s">
        <v>24</v>
      </c>
      <c r="M49" s="55">
        <v>261497</v>
      </c>
      <c r="N49" s="55">
        <v>6487</v>
      </c>
      <c r="O49" s="55">
        <v>88909</v>
      </c>
      <c r="P49" s="55">
        <v>350406</v>
      </c>
      <c r="Q49" s="56">
        <v>0.4</v>
      </c>
      <c r="R49" s="55">
        <v>140162</v>
      </c>
      <c r="S49" s="57">
        <v>490567.81</v>
      </c>
      <c r="T49" s="106">
        <f>IF(A49="Upgrade",IF(OR(H49=4,H49=5),_xlfn.XLOOKUP(I49,'Renewal Rates'!$A$22:$A$27,'Renewal Rates'!$B$22:$B$27,'Renewal Rates'!$B$27,0),'Renewal Rates'!$F$7),IF(A49="Renewal",100%,0%))</f>
        <v>2.6599999999999999E-2</v>
      </c>
      <c r="U49" s="68">
        <f t="shared" si="0"/>
        <v>13049.103745999999</v>
      </c>
      <c r="V49" s="68"/>
    </row>
    <row r="50" spans="1:22" x14ac:dyDescent="0.3">
      <c r="A50" s="41" t="s">
        <v>21</v>
      </c>
      <c r="B50" s="51">
        <v>11.016</v>
      </c>
      <c r="C50" s="51">
        <v>2000141927</v>
      </c>
      <c r="D50" s="86">
        <v>31.66</v>
      </c>
      <c r="E50" s="86"/>
      <c r="F50" s="52">
        <v>750</v>
      </c>
      <c r="G50" s="53">
        <v>1200</v>
      </c>
      <c r="H50" s="53" t="s">
        <v>122</v>
      </c>
      <c r="I50" s="45" t="s">
        <v>122</v>
      </c>
      <c r="J50" s="41">
        <v>377</v>
      </c>
      <c r="K50" s="54" t="s">
        <v>23</v>
      </c>
      <c r="L50" s="54" t="s">
        <v>24</v>
      </c>
      <c r="M50" s="55">
        <v>253761</v>
      </c>
      <c r="N50" s="55">
        <v>8015</v>
      </c>
      <c r="O50" s="55">
        <v>86279</v>
      </c>
      <c r="P50" s="55">
        <v>340039</v>
      </c>
      <c r="Q50" s="56">
        <v>0.4</v>
      </c>
      <c r="R50" s="55">
        <v>136016</v>
      </c>
      <c r="S50" s="57">
        <v>476055.28</v>
      </c>
      <c r="T50" s="106">
        <f>IF(A50="Upgrade",IF(OR(H50=4,H50=5),_xlfn.XLOOKUP(I50,'Renewal Rates'!$A$22:$A$27,'Renewal Rates'!$B$22:$B$27,'Renewal Rates'!$B$27,0),'Renewal Rates'!$F$7),IF(A50="Renewal",100%,0%))</f>
        <v>2.6599999999999999E-2</v>
      </c>
      <c r="U50" s="68">
        <f t="shared" si="0"/>
        <v>12663.070448</v>
      </c>
      <c r="V50" s="68"/>
    </row>
    <row r="51" spans="1:22" x14ac:dyDescent="0.3">
      <c r="A51" s="41" t="s">
        <v>21</v>
      </c>
      <c r="B51" s="51">
        <v>11.013999999999999</v>
      </c>
      <c r="C51" s="51">
        <v>2000850195</v>
      </c>
      <c r="D51" s="86">
        <v>70.03</v>
      </c>
      <c r="E51" s="86"/>
      <c r="F51" s="52">
        <v>750</v>
      </c>
      <c r="G51" s="53">
        <v>1050</v>
      </c>
      <c r="H51" s="53" t="s">
        <v>122</v>
      </c>
      <c r="I51" s="45" t="s">
        <v>122</v>
      </c>
      <c r="J51" s="41">
        <v>377</v>
      </c>
      <c r="K51" s="54" t="s">
        <v>23</v>
      </c>
      <c r="L51" s="54" t="s">
        <v>24</v>
      </c>
      <c r="M51" s="55">
        <v>473274</v>
      </c>
      <c r="N51" s="55">
        <v>6758</v>
      </c>
      <c r="O51" s="55">
        <v>160913</v>
      </c>
      <c r="P51" s="55">
        <v>634187</v>
      </c>
      <c r="Q51" s="56">
        <v>0.4</v>
      </c>
      <c r="R51" s="55">
        <v>253675</v>
      </c>
      <c r="S51" s="57">
        <v>887861.66</v>
      </c>
      <c r="T51" s="106">
        <f>IF(A51="Upgrade",IF(OR(H51=4,H51=5),_xlfn.XLOOKUP(I51,'Renewal Rates'!$A$22:$A$27,'Renewal Rates'!$B$22:$B$27,'Renewal Rates'!$B$27,0),'Renewal Rates'!$F$7),IF(A51="Renewal",100%,0%))</f>
        <v>2.6599999999999999E-2</v>
      </c>
      <c r="U51" s="68">
        <f t="shared" si="0"/>
        <v>23617.120156000001</v>
      </c>
      <c r="V51" s="68"/>
    </row>
    <row r="52" spans="1:22" x14ac:dyDescent="0.3">
      <c r="A52" s="41" t="s">
        <v>21</v>
      </c>
      <c r="B52" s="51">
        <v>11.026999999999999</v>
      </c>
      <c r="C52" s="51">
        <v>2000496544</v>
      </c>
      <c r="D52" s="86">
        <v>80.06</v>
      </c>
      <c r="E52" s="86"/>
      <c r="F52" s="52">
        <v>900</v>
      </c>
      <c r="G52" s="53">
        <v>1800</v>
      </c>
      <c r="H52" s="53">
        <v>4</v>
      </c>
      <c r="I52" s="45">
        <v>2</v>
      </c>
      <c r="J52" s="41">
        <v>385</v>
      </c>
      <c r="K52" s="54" t="s">
        <v>23</v>
      </c>
      <c r="L52" s="54" t="s">
        <v>24</v>
      </c>
      <c r="M52" s="55">
        <v>744999</v>
      </c>
      <c r="N52" s="55">
        <v>9305</v>
      </c>
      <c r="O52" s="55">
        <v>253300</v>
      </c>
      <c r="P52" s="55">
        <v>998298</v>
      </c>
      <c r="Q52" s="56">
        <v>0.4</v>
      </c>
      <c r="R52" s="55">
        <v>399319</v>
      </c>
      <c r="S52" s="57">
        <v>1397617</v>
      </c>
      <c r="T52" s="106">
        <f>IF(A52="Upgrade",IF(OR(H52=4,H52=5),_xlfn.XLOOKUP(I52,'Renewal Rates'!$A$22:$A$27,'Renewal Rates'!$B$22:$B$27,'Renewal Rates'!$B$27,0),'Renewal Rates'!$F$7),IF(A52="Renewal",100%,0%))</f>
        <v>0</v>
      </c>
      <c r="U52" s="68">
        <f t="shared" si="0"/>
        <v>0</v>
      </c>
      <c r="V52" s="68"/>
    </row>
    <row r="53" spans="1:22" x14ac:dyDescent="0.3">
      <c r="A53" s="41" t="s">
        <v>21</v>
      </c>
      <c r="B53" s="51">
        <v>11.02</v>
      </c>
      <c r="C53" s="51">
        <v>2000878153</v>
      </c>
      <c r="D53" s="86">
        <v>43.52</v>
      </c>
      <c r="E53" s="86"/>
      <c r="F53" s="52">
        <v>825</v>
      </c>
      <c r="G53" s="53">
        <v>1350</v>
      </c>
      <c r="H53" s="53" t="s">
        <v>122</v>
      </c>
      <c r="I53" s="45" t="s">
        <v>122</v>
      </c>
      <c r="J53" s="41">
        <v>377</v>
      </c>
      <c r="K53" s="54" t="s">
        <v>23</v>
      </c>
      <c r="L53" s="54" t="s">
        <v>24</v>
      </c>
      <c r="M53" s="55">
        <v>324957</v>
      </c>
      <c r="N53" s="55">
        <v>7453</v>
      </c>
      <c r="O53" s="55">
        <v>110485</v>
      </c>
      <c r="P53" s="55">
        <v>435442</v>
      </c>
      <c r="Q53" s="56">
        <v>0.4</v>
      </c>
      <c r="R53" s="55">
        <v>174177</v>
      </c>
      <c r="S53" s="57">
        <v>609618.97</v>
      </c>
      <c r="T53" s="106">
        <f>IF(A53="Upgrade",IF(OR(H53=4,H53=5),_xlfn.XLOOKUP(I53,'Renewal Rates'!$A$22:$A$27,'Renewal Rates'!$B$22:$B$27,'Renewal Rates'!$B$27,0),'Renewal Rates'!$F$7),IF(A53="Renewal",100%,0%))</f>
        <v>2.6599999999999999E-2</v>
      </c>
      <c r="U53" s="68">
        <f t="shared" si="0"/>
        <v>16215.864601999998</v>
      </c>
      <c r="V53" s="68"/>
    </row>
    <row r="54" spans="1:22" x14ac:dyDescent="0.3">
      <c r="A54" s="41" t="s">
        <v>21</v>
      </c>
      <c r="B54" s="51">
        <v>11.026999999999999</v>
      </c>
      <c r="C54" s="51">
        <v>3000099268</v>
      </c>
      <c r="D54" s="86">
        <v>69.955591999999996</v>
      </c>
      <c r="E54" s="86"/>
      <c r="F54" s="52">
        <v>900</v>
      </c>
      <c r="G54" s="53">
        <v>1650</v>
      </c>
      <c r="H54" s="53">
        <v>4</v>
      </c>
      <c r="I54" s="45">
        <v>4</v>
      </c>
      <c r="J54" s="41">
        <v>385</v>
      </c>
      <c r="K54" s="54" t="s">
        <v>23</v>
      </c>
      <c r="L54" s="54" t="s">
        <v>24</v>
      </c>
      <c r="M54" s="55">
        <v>642608</v>
      </c>
      <c r="N54" s="55">
        <v>9186</v>
      </c>
      <c r="O54" s="55">
        <v>218487</v>
      </c>
      <c r="P54" s="55">
        <v>861095</v>
      </c>
      <c r="Q54" s="56">
        <v>0.4</v>
      </c>
      <c r="R54" s="55">
        <v>344438</v>
      </c>
      <c r="S54" s="57">
        <v>1205533.25</v>
      </c>
      <c r="T54" s="106">
        <f>IF(A54="Upgrade",IF(OR(H54=4,H54=5),_xlfn.XLOOKUP(I54,'Renewal Rates'!$A$22:$A$27,'Renewal Rates'!$B$22:$B$27,'Renewal Rates'!$B$27,0),'Renewal Rates'!$F$7),IF(A54="Renewal",100%,0%))</f>
        <v>0.7</v>
      </c>
      <c r="U54" s="68">
        <f t="shared" si="0"/>
        <v>843873.27499999991</v>
      </c>
      <c r="V54" s="68"/>
    </row>
    <row r="55" spans="1:22" x14ac:dyDescent="0.3">
      <c r="A55" s="41" t="s">
        <v>21</v>
      </c>
      <c r="B55" s="51">
        <v>11.02</v>
      </c>
      <c r="C55" s="51">
        <v>3000137809</v>
      </c>
      <c r="D55" s="86">
        <v>23.926919999999999</v>
      </c>
      <c r="E55" s="86"/>
      <c r="F55" s="52">
        <v>825</v>
      </c>
      <c r="G55" s="53">
        <v>1350</v>
      </c>
      <c r="H55" s="53" t="s">
        <v>122</v>
      </c>
      <c r="I55" s="45" t="s">
        <v>122</v>
      </c>
      <c r="J55" s="41">
        <v>377</v>
      </c>
      <c r="K55" s="54" t="s">
        <v>23</v>
      </c>
      <c r="L55" s="54" t="s">
        <v>24</v>
      </c>
      <c r="M55" s="55">
        <v>181058</v>
      </c>
      <c r="N55" s="55">
        <v>7567</v>
      </c>
      <c r="O55" s="55">
        <v>61560</v>
      </c>
      <c r="P55" s="55">
        <v>242617</v>
      </c>
      <c r="Q55" s="56">
        <v>0.4</v>
      </c>
      <c r="R55" s="55">
        <v>97047</v>
      </c>
      <c r="S55" s="57">
        <v>339664.45</v>
      </c>
      <c r="T55" s="106">
        <f>IF(A55="Upgrade",IF(OR(H55=4,H55=5),_xlfn.XLOOKUP(I55,'Renewal Rates'!$A$22:$A$27,'Renewal Rates'!$B$22:$B$27,'Renewal Rates'!$B$27,0),'Renewal Rates'!$F$7),IF(A55="Renewal",100%,0%))</f>
        <v>2.6599999999999999E-2</v>
      </c>
      <c r="U55" s="68">
        <f t="shared" si="0"/>
        <v>9035.0743700000003</v>
      </c>
      <c r="V55" s="68"/>
    </row>
    <row r="56" spans="1:22" x14ac:dyDescent="0.3">
      <c r="A56" s="41" t="s">
        <v>21</v>
      </c>
      <c r="B56" s="51">
        <v>9.0090000000000003</v>
      </c>
      <c r="C56" s="51">
        <v>2000280103</v>
      </c>
      <c r="D56" s="86">
        <v>29.07</v>
      </c>
      <c r="E56" s="86"/>
      <c r="F56" s="52">
        <v>750</v>
      </c>
      <c r="G56" s="53">
        <v>1275</v>
      </c>
      <c r="H56" s="53">
        <v>4</v>
      </c>
      <c r="I56" s="45">
        <v>3</v>
      </c>
      <c r="J56" s="41">
        <v>375</v>
      </c>
      <c r="K56" s="54" t="s">
        <v>23</v>
      </c>
      <c r="L56" s="54" t="s">
        <v>24</v>
      </c>
      <c r="M56" s="55">
        <v>213122</v>
      </c>
      <c r="N56" s="55">
        <v>7332</v>
      </c>
      <c r="O56" s="55">
        <v>72462</v>
      </c>
      <c r="P56" s="55">
        <v>285584</v>
      </c>
      <c r="Q56" s="56">
        <v>0.4</v>
      </c>
      <c r="R56" s="55">
        <v>114234</v>
      </c>
      <c r="S56" s="57">
        <v>399817.76</v>
      </c>
      <c r="T56" s="106">
        <f>IF(A56="Upgrade",IF(OR(H56=4,H56=5),_xlfn.XLOOKUP(I56,'Renewal Rates'!$A$22:$A$27,'Renewal Rates'!$B$22:$B$27,'Renewal Rates'!$B$27,0),'Renewal Rates'!$F$7),IF(A56="Renewal",100%,0%))</f>
        <v>0.21</v>
      </c>
      <c r="U56" s="68">
        <f t="shared" si="0"/>
        <v>83961.729600000006</v>
      </c>
      <c r="V56" s="68"/>
    </row>
    <row r="57" spans="1:22" x14ac:dyDescent="0.3">
      <c r="A57" s="41" t="s">
        <v>21</v>
      </c>
      <c r="B57" s="51">
        <v>9.0090000000000003</v>
      </c>
      <c r="C57" s="51">
        <v>2000460577</v>
      </c>
      <c r="D57" s="86">
        <v>15.37</v>
      </c>
      <c r="E57" s="86"/>
      <c r="F57" s="52">
        <v>900</v>
      </c>
      <c r="G57" s="53">
        <v>1275</v>
      </c>
      <c r="H57" s="53">
        <v>4</v>
      </c>
      <c r="I57" s="45">
        <v>3</v>
      </c>
      <c r="J57" s="41">
        <v>375</v>
      </c>
      <c r="K57" s="54" t="s">
        <v>23</v>
      </c>
      <c r="L57" s="54" t="s">
        <v>24</v>
      </c>
      <c r="M57" s="55">
        <v>110404</v>
      </c>
      <c r="N57" s="55">
        <v>7182</v>
      </c>
      <c r="O57" s="55">
        <v>37537</v>
      </c>
      <c r="P57" s="55">
        <v>147942</v>
      </c>
      <c r="Q57" s="56">
        <v>0.4</v>
      </c>
      <c r="R57" s="55">
        <v>59177</v>
      </c>
      <c r="S57" s="57">
        <v>207118.54</v>
      </c>
      <c r="T57" s="106">
        <f>IF(A57="Upgrade",IF(OR(H57=4,H57=5),_xlfn.XLOOKUP(I57,'Renewal Rates'!$A$22:$A$27,'Renewal Rates'!$B$22:$B$27,'Renewal Rates'!$B$27,0),'Renewal Rates'!$F$7),IF(A57="Renewal",100%,0%))</f>
        <v>0.21</v>
      </c>
      <c r="U57" s="68">
        <f t="shared" si="0"/>
        <v>43494.893400000001</v>
      </c>
      <c r="V57" s="68"/>
    </row>
    <row r="58" spans="1:22" x14ac:dyDescent="0.3">
      <c r="A58" s="41" t="s">
        <v>21</v>
      </c>
      <c r="B58" s="51" t="s">
        <v>22</v>
      </c>
      <c r="C58" s="58">
        <v>2000422905</v>
      </c>
      <c r="D58" s="86">
        <v>23.926919999999999</v>
      </c>
      <c r="E58" s="86"/>
      <c r="F58" s="52">
        <v>900</v>
      </c>
      <c r="G58" s="53">
        <v>2100</v>
      </c>
      <c r="H58" s="53" t="s">
        <v>122</v>
      </c>
      <c r="I58" s="45" t="s">
        <v>122</v>
      </c>
      <c r="J58" s="41">
        <v>387</v>
      </c>
      <c r="K58" s="54" t="s">
        <v>23</v>
      </c>
      <c r="L58" s="54" t="s">
        <v>24</v>
      </c>
      <c r="M58" s="55">
        <v>2116257.3116000001</v>
      </c>
      <c r="N58" s="55">
        <v>12513.1003</v>
      </c>
      <c r="O58" s="55">
        <v>719527.48594400007</v>
      </c>
      <c r="P58" s="55">
        <v>2835784.7975440002</v>
      </c>
      <c r="Q58" s="56">
        <v>0.4</v>
      </c>
      <c r="R58" s="55">
        <v>1134313.9190176001</v>
      </c>
      <c r="S58" s="57">
        <v>3970098.7165616006</v>
      </c>
      <c r="T58" s="106">
        <f>IF(A58="Upgrade",IF(OR(H58=4,H58=5),_xlfn.XLOOKUP(I58,'Renewal Rates'!$A$22:$A$27,'Renewal Rates'!$B$22:$B$27,'Renewal Rates'!$B$27,0),'Renewal Rates'!$F$7),IF(A58="Renewal",100%,0%))</f>
        <v>2.6599999999999999E-2</v>
      </c>
      <c r="U58" s="68">
        <f t="shared" si="0"/>
        <v>105604.62586053857</v>
      </c>
      <c r="V58" s="68"/>
    </row>
    <row r="59" spans="1:22" ht="16.2" customHeight="1" x14ac:dyDescent="0.3">
      <c r="A59" s="41" t="s">
        <v>21</v>
      </c>
      <c r="B59" s="51">
        <v>5.01</v>
      </c>
      <c r="C59" s="51">
        <v>2000121214</v>
      </c>
      <c r="D59" s="86">
        <v>23.9</v>
      </c>
      <c r="E59" s="86"/>
      <c r="F59" s="52">
        <v>300</v>
      </c>
      <c r="G59" s="53">
        <v>975</v>
      </c>
      <c r="H59" s="53" t="s">
        <v>122</v>
      </c>
      <c r="I59" s="45" t="s">
        <v>122</v>
      </c>
      <c r="J59" s="41">
        <v>387</v>
      </c>
      <c r="K59" s="54" t="s">
        <v>23</v>
      </c>
      <c r="L59" s="54" t="s">
        <v>24</v>
      </c>
      <c r="M59" s="55">
        <v>218411</v>
      </c>
      <c r="N59" s="55">
        <v>9137</v>
      </c>
      <c r="O59" s="55">
        <v>74260</v>
      </c>
      <c r="P59" s="55">
        <v>292671</v>
      </c>
      <c r="Q59" s="56">
        <v>0.4</v>
      </c>
      <c r="R59" s="55">
        <v>117068</v>
      </c>
      <c r="S59" s="57">
        <v>409738.8</v>
      </c>
      <c r="T59" s="106">
        <f>IF(A59="Upgrade",IF(OR(H59=4,H59=5),_xlfn.XLOOKUP(I59,'Renewal Rates'!$A$22:$A$27,'Renewal Rates'!$B$22:$B$27,'Renewal Rates'!$B$27,0),'Renewal Rates'!$F$7),IF(A59="Renewal",100%,0%))</f>
        <v>2.6599999999999999E-2</v>
      </c>
      <c r="U59" s="68">
        <f t="shared" si="0"/>
        <v>10899.052079999999</v>
      </c>
      <c r="V59" s="68"/>
    </row>
    <row r="60" spans="1:22" x14ac:dyDescent="0.3">
      <c r="A60" s="41" t="s">
        <v>21</v>
      </c>
      <c r="B60" s="51">
        <v>3.0619999999999998</v>
      </c>
      <c r="C60" s="58">
        <v>2000643540</v>
      </c>
      <c r="D60" s="86">
        <v>14.48</v>
      </c>
      <c r="E60" s="86"/>
      <c r="F60" s="52">
        <v>450</v>
      </c>
      <c r="G60" s="53">
        <v>1350</v>
      </c>
      <c r="H60" s="53" t="s">
        <v>122</v>
      </c>
      <c r="I60" s="45" t="s">
        <v>122</v>
      </c>
      <c r="J60" s="41">
        <v>387</v>
      </c>
      <c r="K60" s="54" t="s">
        <v>23</v>
      </c>
      <c r="L60" s="54" t="s">
        <v>24</v>
      </c>
      <c r="M60" s="55">
        <v>110155</v>
      </c>
      <c r="N60" s="55">
        <v>7609</v>
      </c>
      <c r="O60" s="55">
        <v>37453</v>
      </c>
      <c r="P60" s="55">
        <v>147608</v>
      </c>
      <c r="Q60" s="56">
        <v>0.4</v>
      </c>
      <c r="R60" s="55">
        <v>59043</v>
      </c>
      <c r="S60" s="57">
        <v>206650.54</v>
      </c>
      <c r="T60" s="106">
        <f>IF(A60="Upgrade",IF(OR(H60=4,H60=5),_xlfn.XLOOKUP(I60,'Renewal Rates'!$A$22:$A$27,'Renewal Rates'!$B$22:$B$27,'Renewal Rates'!$B$27,0),'Renewal Rates'!$F$7),IF(A60="Renewal",100%,0%))</f>
        <v>2.6599999999999999E-2</v>
      </c>
      <c r="U60" s="68">
        <f t="shared" si="0"/>
        <v>5496.904364</v>
      </c>
      <c r="V60" s="68"/>
    </row>
    <row r="61" spans="1:22" x14ac:dyDescent="0.3">
      <c r="A61" s="41" t="s">
        <v>21</v>
      </c>
      <c r="B61" s="51">
        <v>12.009</v>
      </c>
      <c r="C61" s="58">
        <v>2000421685</v>
      </c>
      <c r="D61" s="86">
        <v>70.2</v>
      </c>
      <c r="E61" s="86"/>
      <c r="F61" s="52">
        <v>1200</v>
      </c>
      <c r="G61" s="53">
        <v>1650</v>
      </c>
      <c r="H61" s="53">
        <v>4</v>
      </c>
      <c r="I61" s="45">
        <v>2</v>
      </c>
      <c r="J61" s="41">
        <v>377</v>
      </c>
      <c r="K61" s="54" t="s">
        <v>23</v>
      </c>
      <c r="L61" s="54" t="s">
        <v>24</v>
      </c>
      <c r="M61" s="55">
        <v>666120</v>
      </c>
      <c r="N61" s="55">
        <v>9489</v>
      </c>
      <c r="O61" s="55">
        <v>226481</v>
      </c>
      <c r="P61" s="55">
        <v>892601</v>
      </c>
      <c r="Q61" s="56">
        <v>0.4</v>
      </c>
      <c r="R61" s="55">
        <v>357041</v>
      </c>
      <c r="S61" s="57">
        <v>1249642.04</v>
      </c>
      <c r="T61" s="106">
        <f>IF(A61="Upgrade",IF(OR(H61=4,H61=5),_xlfn.XLOOKUP(I61,'Renewal Rates'!$A$22:$A$27,'Renewal Rates'!$B$22:$B$27,'Renewal Rates'!$B$27,0),'Renewal Rates'!$F$7),IF(A61="Renewal",100%,0%))</f>
        <v>0</v>
      </c>
      <c r="U61" s="68">
        <f t="shared" si="0"/>
        <v>0</v>
      </c>
      <c r="V61" s="68"/>
    </row>
    <row r="62" spans="1:22" x14ac:dyDescent="0.3">
      <c r="A62" s="41" t="s">
        <v>21</v>
      </c>
      <c r="B62" s="51">
        <v>3.04</v>
      </c>
      <c r="C62" s="58">
        <v>2000474891</v>
      </c>
      <c r="D62" s="86">
        <v>83.67</v>
      </c>
      <c r="E62" s="86"/>
      <c r="F62" s="52">
        <v>375</v>
      </c>
      <c r="G62" s="53">
        <v>825</v>
      </c>
      <c r="H62" s="53">
        <v>4</v>
      </c>
      <c r="I62" s="45">
        <v>3</v>
      </c>
      <c r="J62" s="41">
        <v>386</v>
      </c>
      <c r="K62" s="54" t="s">
        <v>23</v>
      </c>
      <c r="L62" s="54" t="s">
        <v>24</v>
      </c>
      <c r="M62" s="55">
        <v>375560</v>
      </c>
      <c r="N62" s="55">
        <v>4488</v>
      </c>
      <c r="O62" s="55">
        <v>127690</v>
      </c>
      <c r="P62" s="55">
        <v>503251</v>
      </c>
      <c r="Q62" s="56">
        <v>0.4</v>
      </c>
      <c r="R62" s="55">
        <v>201300</v>
      </c>
      <c r="S62" s="57">
        <v>704550.71</v>
      </c>
      <c r="T62" s="106">
        <f>IF(A62="Upgrade",IF(OR(H62=4,H62=5),_xlfn.XLOOKUP(I62,'Renewal Rates'!$A$22:$A$27,'Renewal Rates'!$B$22:$B$27,'Renewal Rates'!$B$27,0),'Renewal Rates'!$F$7),IF(A62="Renewal",100%,0%))</f>
        <v>0.21</v>
      </c>
      <c r="U62" s="68">
        <f t="shared" si="0"/>
        <v>147955.64909999998</v>
      </c>
      <c r="V62" s="68"/>
    </row>
    <row r="63" spans="1:22" x14ac:dyDescent="0.3">
      <c r="A63" s="41" t="s">
        <v>21</v>
      </c>
      <c r="B63" s="51">
        <v>15.009</v>
      </c>
      <c r="C63" s="58">
        <v>2000197771</v>
      </c>
      <c r="D63" s="86">
        <v>37.36</v>
      </c>
      <c r="E63" s="86"/>
      <c r="F63" s="52">
        <v>1500</v>
      </c>
      <c r="G63" s="53">
        <v>1650</v>
      </c>
      <c r="H63" s="53">
        <v>4</v>
      </c>
      <c r="I63" s="45">
        <v>2</v>
      </c>
      <c r="J63" s="41">
        <v>377</v>
      </c>
      <c r="K63" s="54" t="s">
        <v>23</v>
      </c>
      <c r="L63" s="54" t="s">
        <v>24</v>
      </c>
      <c r="M63" s="55">
        <v>354904</v>
      </c>
      <c r="N63" s="55">
        <v>9499</v>
      </c>
      <c r="O63" s="55">
        <v>120668</v>
      </c>
      <c r="P63" s="55">
        <v>475572</v>
      </c>
      <c r="Q63" s="56">
        <v>0.4</v>
      </c>
      <c r="R63" s="55">
        <v>190229</v>
      </c>
      <c r="S63" s="57">
        <v>665800.69999999995</v>
      </c>
      <c r="T63" s="106">
        <f>IF(A63="Upgrade",IF(OR(H63=4,H63=5),_xlfn.XLOOKUP(I63,'Renewal Rates'!$A$22:$A$27,'Renewal Rates'!$B$22:$B$27,'Renewal Rates'!$B$27,0),'Renewal Rates'!$F$7),IF(A63="Renewal",100%,0%))</f>
        <v>0</v>
      </c>
      <c r="U63" s="68">
        <f t="shared" si="0"/>
        <v>0</v>
      </c>
      <c r="V63" s="68"/>
    </row>
    <row r="64" spans="1:22" x14ac:dyDescent="0.3">
      <c r="A64" s="41" t="s">
        <v>21</v>
      </c>
      <c r="B64" s="51">
        <v>3.0640000000000001</v>
      </c>
      <c r="C64" s="58">
        <v>2000646839</v>
      </c>
      <c r="D64" s="86">
        <v>42.71</v>
      </c>
      <c r="E64" s="86"/>
      <c r="F64" s="52">
        <v>225</v>
      </c>
      <c r="G64" s="53">
        <v>1050</v>
      </c>
      <c r="H64" s="53" t="s">
        <v>122</v>
      </c>
      <c r="I64" s="45" t="s">
        <v>122</v>
      </c>
      <c r="J64" s="41">
        <v>386</v>
      </c>
      <c r="K64" s="54" t="s">
        <v>23</v>
      </c>
      <c r="L64" s="54" t="s">
        <v>24</v>
      </c>
      <c r="M64" s="55">
        <v>289043</v>
      </c>
      <c r="N64" s="55">
        <v>6767</v>
      </c>
      <c r="O64" s="55">
        <v>98275</v>
      </c>
      <c r="P64" s="55">
        <v>387317</v>
      </c>
      <c r="Q64" s="56">
        <v>0.4</v>
      </c>
      <c r="R64" s="55">
        <v>154927</v>
      </c>
      <c r="S64" s="57">
        <v>542244.37</v>
      </c>
      <c r="T64" s="106">
        <f>IF(A64="Upgrade",IF(OR(H64=4,H64=5),_xlfn.XLOOKUP(I64,'Renewal Rates'!$A$22:$A$27,'Renewal Rates'!$B$22:$B$27,'Renewal Rates'!$B$27,0),'Renewal Rates'!$F$7),IF(A64="Renewal",100%,0%))</f>
        <v>2.6599999999999999E-2</v>
      </c>
      <c r="U64" s="68">
        <f t="shared" si="0"/>
        <v>14423.700241999999</v>
      </c>
      <c r="V64" s="68"/>
    </row>
    <row r="65" spans="1:22" x14ac:dyDescent="0.3">
      <c r="A65" s="41" t="s">
        <v>21</v>
      </c>
      <c r="B65" s="51">
        <v>3.0390000000000001</v>
      </c>
      <c r="C65" s="58">
        <v>2000132465</v>
      </c>
      <c r="D65" s="86">
        <v>69.88</v>
      </c>
      <c r="E65" s="86"/>
      <c r="F65" s="52">
        <v>225</v>
      </c>
      <c r="G65" s="53">
        <v>1125</v>
      </c>
      <c r="H65" s="53" t="s">
        <v>122</v>
      </c>
      <c r="I65" s="45" t="s">
        <v>122</v>
      </c>
      <c r="J65" s="41">
        <v>386</v>
      </c>
      <c r="K65" s="54" t="s">
        <v>23</v>
      </c>
      <c r="L65" s="54" t="s">
        <v>24</v>
      </c>
      <c r="M65" s="55">
        <v>506475</v>
      </c>
      <c r="N65" s="55">
        <v>7248</v>
      </c>
      <c r="O65" s="55">
        <v>172202</v>
      </c>
      <c r="P65" s="55">
        <v>678677</v>
      </c>
      <c r="Q65" s="56">
        <v>0.4</v>
      </c>
      <c r="R65" s="55">
        <v>271471</v>
      </c>
      <c r="S65" s="57">
        <v>950148.01</v>
      </c>
      <c r="T65" s="106">
        <f>IF(A65="Upgrade",IF(OR(H65=4,H65=5),_xlfn.XLOOKUP(I65,'Renewal Rates'!$A$22:$A$27,'Renewal Rates'!$B$22:$B$27,'Renewal Rates'!$B$27,0),'Renewal Rates'!$F$7),IF(A65="Renewal",100%,0%))</f>
        <v>2.6599999999999999E-2</v>
      </c>
      <c r="U65" s="68">
        <f t="shared" si="0"/>
        <v>25273.937065999999</v>
      </c>
      <c r="V65" s="68"/>
    </row>
    <row r="66" spans="1:22" x14ac:dyDescent="0.3">
      <c r="A66" s="41" t="s">
        <v>21</v>
      </c>
      <c r="B66" s="51">
        <v>4.0369999999999999</v>
      </c>
      <c r="C66" s="58">
        <v>2000649953</v>
      </c>
      <c r="D66" s="86">
        <v>64.03</v>
      </c>
      <c r="E66" s="86"/>
      <c r="F66" s="52">
        <v>450</v>
      </c>
      <c r="G66" s="53">
        <v>675</v>
      </c>
      <c r="H66" s="53">
        <v>5</v>
      </c>
      <c r="I66" s="45">
        <v>2</v>
      </c>
      <c r="J66" s="41">
        <v>374</v>
      </c>
      <c r="K66" s="54" t="s">
        <v>23</v>
      </c>
      <c r="L66" s="54" t="s">
        <v>24</v>
      </c>
      <c r="M66" s="55">
        <v>291608</v>
      </c>
      <c r="N66" s="55">
        <v>4554</v>
      </c>
      <c r="O66" s="55">
        <v>99147</v>
      </c>
      <c r="P66" s="55">
        <v>390755</v>
      </c>
      <c r="Q66" s="56">
        <v>0.4</v>
      </c>
      <c r="R66" s="55">
        <v>156302</v>
      </c>
      <c r="S66" s="57">
        <v>547056.46542400005</v>
      </c>
      <c r="T66" s="106">
        <f>IF(A66="Upgrade",IF(OR(H66=4,H66=5),_xlfn.XLOOKUP(I66,'Renewal Rates'!$A$22:$A$27,'Renewal Rates'!$B$22:$B$27,'Renewal Rates'!$B$27,0),'Renewal Rates'!$F$7),IF(A66="Renewal",100%,0%))</f>
        <v>0</v>
      </c>
      <c r="U66" s="68">
        <f t="shared" si="0"/>
        <v>0</v>
      </c>
      <c r="V66" s="68"/>
    </row>
    <row r="67" spans="1:22" x14ac:dyDescent="0.3">
      <c r="A67" s="41" t="s">
        <v>21</v>
      </c>
      <c r="B67" s="51">
        <v>3.0390000000000001</v>
      </c>
      <c r="C67" s="58">
        <v>2000018644</v>
      </c>
      <c r="D67" s="86">
        <v>71.06</v>
      </c>
      <c r="E67" s="86"/>
      <c r="F67" s="52">
        <v>225</v>
      </c>
      <c r="G67" s="53">
        <v>1125</v>
      </c>
      <c r="H67" s="53" t="s">
        <v>122</v>
      </c>
      <c r="I67" s="45" t="s">
        <v>122</v>
      </c>
      <c r="J67" s="41">
        <v>386</v>
      </c>
      <c r="K67" s="54" t="s">
        <v>23</v>
      </c>
      <c r="L67" s="54" t="s">
        <v>24</v>
      </c>
      <c r="M67" s="55">
        <v>509074</v>
      </c>
      <c r="N67" s="55">
        <v>7164</v>
      </c>
      <c r="O67" s="55">
        <v>173085</v>
      </c>
      <c r="P67" s="55">
        <v>682159</v>
      </c>
      <c r="Q67" s="56">
        <v>0.4</v>
      </c>
      <c r="R67" s="55">
        <v>272864</v>
      </c>
      <c r="S67" s="57">
        <v>955022.97</v>
      </c>
      <c r="T67" s="106">
        <f>IF(A67="Upgrade",IF(OR(H67=4,H67=5),_xlfn.XLOOKUP(I67,'Renewal Rates'!$A$22:$A$27,'Renewal Rates'!$B$22:$B$27,'Renewal Rates'!$B$27,0),'Renewal Rates'!$F$7),IF(A67="Renewal",100%,0%))</f>
        <v>2.6599999999999999E-2</v>
      </c>
      <c r="U67" s="68">
        <f t="shared" si="0"/>
        <v>25403.611001999998</v>
      </c>
      <c r="V67" s="68"/>
    </row>
    <row r="68" spans="1:22" x14ac:dyDescent="0.3">
      <c r="A68" s="41" t="s">
        <v>21</v>
      </c>
      <c r="B68" s="51">
        <v>12.007</v>
      </c>
      <c r="C68" s="58">
        <v>2000030578</v>
      </c>
      <c r="D68" s="86">
        <v>85.999691999999996</v>
      </c>
      <c r="E68" s="86"/>
      <c r="F68" s="52">
        <v>1200</v>
      </c>
      <c r="G68" s="53">
        <v>1650</v>
      </c>
      <c r="H68" s="53">
        <v>5</v>
      </c>
      <c r="I68" s="45">
        <v>3</v>
      </c>
      <c r="J68" s="41">
        <v>377</v>
      </c>
      <c r="K68" s="54" t="s">
        <v>23</v>
      </c>
      <c r="L68" s="54" t="s">
        <v>24</v>
      </c>
      <c r="M68" s="55">
        <v>810543</v>
      </c>
      <c r="N68" s="55">
        <v>9425</v>
      </c>
      <c r="O68" s="55">
        <v>275585</v>
      </c>
      <c r="P68" s="55">
        <v>1086127</v>
      </c>
      <c r="Q68" s="56">
        <v>0.4</v>
      </c>
      <c r="R68" s="55">
        <v>434451</v>
      </c>
      <c r="S68" s="57">
        <v>1520578.48</v>
      </c>
      <c r="T68" s="106">
        <f>IF(A68="Upgrade",IF(OR(H68=4,H68=5),_xlfn.XLOOKUP(I68,'Renewal Rates'!$A$22:$A$27,'Renewal Rates'!$B$22:$B$27,'Renewal Rates'!$B$27,0),'Renewal Rates'!$F$7),IF(A68="Renewal",100%,0%))</f>
        <v>0.21</v>
      </c>
      <c r="U68" s="68">
        <f t="shared" ref="U68:U131" si="1">S68*T68</f>
        <v>319321.48079999996</v>
      </c>
      <c r="V68" s="68"/>
    </row>
    <row r="69" spans="1:22" x14ac:dyDescent="0.3">
      <c r="A69" s="41" t="s">
        <v>21</v>
      </c>
      <c r="B69" s="51">
        <v>3.0529999999999999</v>
      </c>
      <c r="C69" s="58">
        <v>2000822011</v>
      </c>
      <c r="D69" s="86">
        <v>81.099999999999994</v>
      </c>
      <c r="E69" s="86"/>
      <c r="F69" s="52">
        <v>375</v>
      </c>
      <c r="G69" s="53">
        <v>750</v>
      </c>
      <c r="H69" s="53">
        <v>4</v>
      </c>
      <c r="I69" s="45"/>
      <c r="J69" s="41">
        <v>386</v>
      </c>
      <c r="K69" s="54" t="s">
        <v>23</v>
      </c>
      <c r="L69" s="54" t="s">
        <v>24</v>
      </c>
      <c r="M69" s="55">
        <v>339808</v>
      </c>
      <c r="N69" s="55">
        <v>4190</v>
      </c>
      <c r="O69" s="55">
        <v>115535</v>
      </c>
      <c r="P69" s="55">
        <v>455343</v>
      </c>
      <c r="Q69" s="56">
        <v>0.4</v>
      </c>
      <c r="R69" s="55">
        <v>182137</v>
      </c>
      <c r="S69" s="57">
        <v>637479.91</v>
      </c>
      <c r="T69" s="106">
        <f>IF(A69="Upgrade",IF(OR(H69=4,H69=5),_xlfn.XLOOKUP(I69,'Renewal Rates'!$A$22:$A$27,'Renewal Rates'!$B$22:$B$27,'Renewal Rates'!$B$27,0),'Renewal Rates'!$F$7),IF(A69="Renewal",100%,0%))</f>
        <v>0.116578</v>
      </c>
      <c r="U69" s="68">
        <f t="shared" si="1"/>
        <v>74316.132947980004</v>
      </c>
      <c r="V69" s="68"/>
    </row>
    <row r="70" spans="1:22" x14ac:dyDescent="0.3">
      <c r="A70" s="41" t="s">
        <v>21</v>
      </c>
      <c r="B70" s="51">
        <v>3.0640000000000001</v>
      </c>
      <c r="C70" s="58">
        <v>2000090091</v>
      </c>
      <c r="D70" s="86">
        <v>49.8</v>
      </c>
      <c r="E70" s="86"/>
      <c r="F70" s="52">
        <v>300</v>
      </c>
      <c r="G70" s="53">
        <v>1050</v>
      </c>
      <c r="H70" s="53" t="s">
        <v>122</v>
      </c>
      <c r="I70" s="45" t="s">
        <v>122</v>
      </c>
      <c r="J70" s="41">
        <v>386</v>
      </c>
      <c r="K70" s="54" t="s">
        <v>23</v>
      </c>
      <c r="L70" s="54" t="s">
        <v>24</v>
      </c>
      <c r="M70" s="55">
        <v>326067</v>
      </c>
      <c r="N70" s="55">
        <v>6548</v>
      </c>
      <c r="O70" s="55">
        <v>110863</v>
      </c>
      <c r="P70" s="55">
        <v>436929</v>
      </c>
      <c r="Q70" s="56">
        <v>0.4</v>
      </c>
      <c r="R70" s="55">
        <v>174772</v>
      </c>
      <c r="S70" s="57">
        <v>611700.91</v>
      </c>
      <c r="T70" s="106">
        <f>IF(A70="Upgrade",IF(OR(H70=4,H70=5),_xlfn.XLOOKUP(I70,'Renewal Rates'!$A$22:$A$27,'Renewal Rates'!$B$22:$B$27,'Renewal Rates'!$B$27,0),'Renewal Rates'!$F$7),IF(A70="Renewal",100%,0%))</f>
        <v>2.6599999999999999E-2</v>
      </c>
      <c r="U70" s="68">
        <f t="shared" si="1"/>
        <v>16271.244205999999</v>
      </c>
      <c r="V70" s="68"/>
    </row>
    <row r="71" spans="1:22" x14ac:dyDescent="0.3">
      <c r="A71" s="41" t="s">
        <v>21</v>
      </c>
      <c r="B71" s="51">
        <v>15.009</v>
      </c>
      <c r="C71" s="58">
        <v>2000832027</v>
      </c>
      <c r="D71" s="86">
        <v>19.989999999999998</v>
      </c>
      <c r="E71" s="86"/>
      <c r="F71" s="52">
        <v>1200</v>
      </c>
      <c r="G71" s="53">
        <v>1650</v>
      </c>
      <c r="H71" s="53">
        <v>4</v>
      </c>
      <c r="I71" s="45">
        <v>1</v>
      </c>
      <c r="J71" s="41">
        <v>377</v>
      </c>
      <c r="K71" s="54" t="s">
        <v>23</v>
      </c>
      <c r="L71" s="54" t="s">
        <v>24</v>
      </c>
      <c r="M71" s="55">
        <v>205154</v>
      </c>
      <c r="N71" s="55">
        <v>10260</v>
      </c>
      <c r="O71" s="55">
        <v>69752</v>
      </c>
      <c r="P71" s="55">
        <v>274907</v>
      </c>
      <c r="Q71" s="56">
        <v>0.4</v>
      </c>
      <c r="R71" s="55">
        <v>109963</v>
      </c>
      <c r="S71" s="57">
        <v>384869.4</v>
      </c>
      <c r="T71" s="106">
        <f>IF(A71="Upgrade",IF(OR(H71=4,H71=5),_xlfn.XLOOKUP(I71,'Renewal Rates'!$A$22:$A$27,'Renewal Rates'!$B$22:$B$27,'Renewal Rates'!$B$27,0),'Renewal Rates'!$F$7),IF(A71="Renewal",100%,0%))</f>
        <v>0</v>
      </c>
      <c r="U71" s="68">
        <f t="shared" si="1"/>
        <v>0</v>
      </c>
      <c r="V71" s="68"/>
    </row>
    <row r="72" spans="1:22" x14ac:dyDescent="0.3">
      <c r="A72" s="41" t="s">
        <v>21</v>
      </c>
      <c r="B72" s="51">
        <v>8.0139999999999993</v>
      </c>
      <c r="C72" s="58">
        <v>2000461036</v>
      </c>
      <c r="D72" s="86">
        <v>48.13</v>
      </c>
      <c r="E72" s="86"/>
      <c r="F72" s="52">
        <v>525</v>
      </c>
      <c r="G72" s="53">
        <v>1200</v>
      </c>
      <c r="H72" s="53" t="s">
        <v>122</v>
      </c>
      <c r="I72" s="45" t="s">
        <v>122</v>
      </c>
      <c r="J72" s="41">
        <v>368</v>
      </c>
      <c r="K72" s="54" t="s">
        <v>23</v>
      </c>
      <c r="L72" s="54" t="s">
        <v>24</v>
      </c>
      <c r="M72" s="55">
        <v>360695</v>
      </c>
      <c r="N72" s="55">
        <v>7494</v>
      </c>
      <c r="O72" s="55">
        <v>122636</v>
      </c>
      <c r="P72" s="55">
        <v>483332</v>
      </c>
      <c r="Q72" s="56">
        <v>0.4</v>
      </c>
      <c r="R72" s="55">
        <v>193333</v>
      </c>
      <c r="S72" s="57">
        <v>676664.35</v>
      </c>
      <c r="T72" s="106">
        <f>IF(A72="Upgrade",IF(OR(H72=4,H72=5),_xlfn.XLOOKUP(I72,'Renewal Rates'!$A$22:$A$27,'Renewal Rates'!$B$22:$B$27,'Renewal Rates'!$B$27,0),'Renewal Rates'!$F$7),IF(A72="Renewal",100%,0%))</f>
        <v>2.6599999999999999E-2</v>
      </c>
      <c r="U72" s="68">
        <f t="shared" si="1"/>
        <v>17999.271709999997</v>
      </c>
      <c r="V72" s="68"/>
    </row>
    <row r="73" spans="1:22" x14ac:dyDescent="0.3">
      <c r="A73" s="41" t="s">
        <v>21</v>
      </c>
      <c r="B73" s="51">
        <v>8.0129999999999999</v>
      </c>
      <c r="C73" s="58">
        <v>2000613177</v>
      </c>
      <c r="D73" s="86">
        <v>4.5</v>
      </c>
      <c r="E73" s="86"/>
      <c r="F73" s="52">
        <v>450</v>
      </c>
      <c r="G73" s="53">
        <v>1125</v>
      </c>
      <c r="H73" s="53" t="s">
        <v>122</v>
      </c>
      <c r="I73" s="45" t="s">
        <v>122</v>
      </c>
      <c r="J73" s="41">
        <v>368</v>
      </c>
      <c r="K73" s="54" t="s">
        <v>23</v>
      </c>
      <c r="L73" s="54" t="s">
        <v>24</v>
      </c>
      <c r="M73" s="55">
        <v>75927</v>
      </c>
      <c r="N73" s="55">
        <v>16867</v>
      </c>
      <c r="O73" s="55">
        <v>25815</v>
      </c>
      <c r="P73" s="55">
        <v>101742</v>
      </c>
      <c r="Q73" s="56">
        <v>0.4</v>
      </c>
      <c r="R73" s="55">
        <v>40697</v>
      </c>
      <c r="S73" s="57">
        <v>142438.60999999999</v>
      </c>
      <c r="T73" s="106">
        <f>IF(A73="Upgrade",IF(OR(H73=4,H73=5),_xlfn.XLOOKUP(I73,'Renewal Rates'!$A$22:$A$27,'Renewal Rates'!$B$22:$B$27,'Renewal Rates'!$B$27,0),'Renewal Rates'!$F$7),IF(A73="Renewal",100%,0%))</f>
        <v>2.6599999999999999E-2</v>
      </c>
      <c r="U73" s="68">
        <f t="shared" si="1"/>
        <v>3788.8670259999994</v>
      </c>
      <c r="V73" s="68"/>
    </row>
    <row r="74" spans="1:22" x14ac:dyDescent="0.3">
      <c r="A74" s="41" t="s">
        <v>21</v>
      </c>
      <c r="B74" s="51">
        <v>8.0129999999999999</v>
      </c>
      <c r="C74" s="58">
        <v>2000106312</v>
      </c>
      <c r="D74" s="86">
        <v>4.47</v>
      </c>
      <c r="E74" s="86"/>
      <c r="F74" s="52">
        <v>450</v>
      </c>
      <c r="G74" s="53">
        <v>1125</v>
      </c>
      <c r="H74" s="53" t="s">
        <v>122</v>
      </c>
      <c r="I74" s="45" t="s">
        <v>122</v>
      </c>
      <c r="J74" s="41">
        <v>368</v>
      </c>
      <c r="K74" s="54" t="s">
        <v>23</v>
      </c>
      <c r="L74" s="54" t="s">
        <v>24</v>
      </c>
      <c r="M74" s="55">
        <v>76721</v>
      </c>
      <c r="N74" s="55">
        <v>15774</v>
      </c>
      <c r="O74" s="55">
        <v>26085</v>
      </c>
      <c r="P74" s="55">
        <v>102806</v>
      </c>
      <c r="Q74" s="56">
        <v>0.4</v>
      </c>
      <c r="R74" s="55">
        <v>41122</v>
      </c>
      <c r="S74" s="57">
        <v>143927.9</v>
      </c>
      <c r="T74" s="106">
        <f>IF(A74="Upgrade",IF(OR(H74=4,H74=5),_xlfn.XLOOKUP(I74,'Renewal Rates'!$A$22:$A$27,'Renewal Rates'!$B$22:$B$27,'Renewal Rates'!$B$27,0),'Renewal Rates'!$F$7),IF(A74="Renewal",100%,0%))</f>
        <v>2.6599999999999999E-2</v>
      </c>
      <c r="U74" s="68">
        <f t="shared" si="1"/>
        <v>3828.4821399999996</v>
      </c>
      <c r="V74" s="68"/>
    </row>
    <row r="75" spans="1:22" x14ac:dyDescent="0.3">
      <c r="A75" s="41" t="s">
        <v>21</v>
      </c>
      <c r="B75" s="51">
        <v>8.0150000000000006</v>
      </c>
      <c r="C75" s="58">
        <v>2000847657</v>
      </c>
      <c r="D75" s="86">
        <v>68.489999999999995</v>
      </c>
      <c r="E75" s="86"/>
      <c r="F75" s="52">
        <v>525</v>
      </c>
      <c r="G75" s="53">
        <v>1200</v>
      </c>
      <c r="H75" s="53">
        <v>4</v>
      </c>
      <c r="I75" s="45">
        <v>5</v>
      </c>
      <c r="J75" s="41">
        <v>368</v>
      </c>
      <c r="K75" s="54" t="s">
        <v>23</v>
      </c>
      <c r="L75" s="54" t="s">
        <v>24</v>
      </c>
      <c r="M75" s="55">
        <v>49042</v>
      </c>
      <c r="N75" s="55">
        <v>-49042</v>
      </c>
      <c r="O75" s="55">
        <v>16674</v>
      </c>
      <c r="P75" s="55">
        <v>65717</v>
      </c>
      <c r="Q75" s="56">
        <v>0.4</v>
      </c>
      <c r="R75" s="55">
        <v>26287</v>
      </c>
      <c r="S75" s="57">
        <v>92003.24</v>
      </c>
      <c r="T75" s="106">
        <f>IF(A75="Upgrade",IF(OR(H75=4,H75=5),_xlfn.XLOOKUP(I75,'Renewal Rates'!$A$22:$A$27,'Renewal Rates'!$B$22:$B$27,'Renewal Rates'!$B$27,0),'Renewal Rates'!$F$7),IF(A75="Renewal",100%,0%))</f>
        <v>0.7</v>
      </c>
      <c r="U75" s="68">
        <f t="shared" si="1"/>
        <v>64402.267999999996</v>
      </c>
      <c r="V75" s="68"/>
    </row>
    <row r="76" spans="1:22" x14ac:dyDescent="0.3">
      <c r="A76" s="41" t="s">
        <v>21</v>
      </c>
      <c r="B76" s="51">
        <v>8.0129999999999999</v>
      </c>
      <c r="C76" s="58">
        <v>2000731996</v>
      </c>
      <c r="D76" s="86">
        <v>18.37</v>
      </c>
      <c r="E76" s="86"/>
      <c r="F76" s="52">
        <v>450</v>
      </c>
      <c r="G76" s="53">
        <v>1125</v>
      </c>
      <c r="H76" s="53" t="s">
        <v>122</v>
      </c>
      <c r="I76" s="45" t="s">
        <v>122</v>
      </c>
      <c r="J76" s="41">
        <v>368</v>
      </c>
      <c r="K76" s="54" t="s">
        <v>23</v>
      </c>
      <c r="L76" s="54" t="s">
        <v>24</v>
      </c>
      <c r="M76" s="55">
        <v>190689</v>
      </c>
      <c r="N76" s="55">
        <v>10380</v>
      </c>
      <c r="O76" s="55">
        <v>64834</v>
      </c>
      <c r="P76" s="55">
        <v>255524</v>
      </c>
      <c r="Q76" s="56">
        <v>0.4</v>
      </c>
      <c r="R76" s="55">
        <v>102209</v>
      </c>
      <c r="S76" s="57">
        <v>357733.1</v>
      </c>
      <c r="T76" s="106">
        <f>IF(A76="Upgrade",IF(OR(H76=4,H76=5),_xlfn.XLOOKUP(I76,'Renewal Rates'!$A$22:$A$27,'Renewal Rates'!$B$22:$B$27,'Renewal Rates'!$B$27,0),'Renewal Rates'!$F$7),IF(A76="Renewal",100%,0%))</f>
        <v>2.6599999999999999E-2</v>
      </c>
      <c r="U76" s="68">
        <f t="shared" si="1"/>
        <v>9515.7004599999982</v>
      </c>
      <c r="V76" s="68"/>
    </row>
    <row r="77" spans="1:22" x14ac:dyDescent="0.3">
      <c r="A77" s="41" t="s">
        <v>21</v>
      </c>
      <c r="B77" s="51">
        <v>8.0129999999999999</v>
      </c>
      <c r="C77" s="58">
        <v>2000589306</v>
      </c>
      <c r="D77" s="86">
        <v>20.52</v>
      </c>
      <c r="E77" s="86"/>
      <c r="F77" s="52">
        <v>450</v>
      </c>
      <c r="G77" s="53">
        <v>1125</v>
      </c>
      <c r="H77" s="53" t="s">
        <v>122</v>
      </c>
      <c r="I77" s="45" t="s">
        <v>122</v>
      </c>
      <c r="J77" s="41">
        <v>368</v>
      </c>
      <c r="K77" s="54" t="s">
        <v>23</v>
      </c>
      <c r="L77" s="54" t="s">
        <v>24</v>
      </c>
      <c r="M77" s="55">
        <v>178220</v>
      </c>
      <c r="N77" s="55">
        <v>8855</v>
      </c>
      <c r="O77" s="55">
        <v>60595</v>
      </c>
      <c r="P77" s="55">
        <v>238815</v>
      </c>
      <c r="Q77" s="56">
        <v>0.4</v>
      </c>
      <c r="R77" s="55">
        <v>95526</v>
      </c>
      <c r="S77" s="57">
        <v>334340.98</v>
      </c>
      <c r="T77" s="106">
        <f>IF(A77="Upgrade",IF(OR(H77=4,H77=5),_xlfn.XLOOKUP(I77,'Renewal Rates'!$A$22:$A$27,'Renewal Rates'!$B$22:$B$27,'Renewal Rates'!$B$27,0),'Renewal Rates'!$F$7),IF(A77="Renewal",100%,0%))</f>
        <v>2.6599999999999999E-2</v>
      </c>
      <c r="U77" s="68">
        <f t="shared" si="1"/>
        <v>8893.4700679999987</v>
      </c>
      <c r="V77" s="68"/>
    </row>
    <row r="78" spans="1:22" x14ac:dyDescent="0.3">
      <c r="A78" s="41" t="s">
        <v>21</v>
      </c>
      <c r="B78" s="51">
        <v>8.0139999999999993</v>
      </c>
      <c r="C78" s="58">
        <v>2000916712</v>
      </c>
      <c r="D78" s="86">
        <v>38.479999999999997</v>
      </c>
      <c r="E78" s="86"/>
      <c r="F78" s="52">
        <v>525</v>
      </c>
      <c r="G78" s="53">
        <v>1200</v>
      </c>
      <c r="H78" s="53" t="s">
        <v>122</v>
      </c>
      <c r="I78" s="45" t="s">
        <v>122</v>
      </c>
      <c r="J78" s="41">
        <v>368</v>
      </c>
      <c r="K78" s="54" t="s">
        <v>23</v>
      </c>
      <c r="L78" s="54" t="s">
        <v>24</v>
      </c>
      <c r="M78" s="55">
        <v>292550</v>
      </c>
      <c r="N78" s="55">
        <v>7602</v>
      </c>
      <c r="O78" s="55">
        <v>99467</v>
      </c>
      <c r="P78" s="55">
        <v>392017</v>
      </c>
      <c r="Q78" s="56">
        <v>0.4</v>
      </c>
      <c r="R78" s="55">
        <v>156807</v>
      </c>
      <c r="S78" s="57">
        <v>548823.21</v>
      </c>
      <c r="T78" s="106">
        <f>IF(A78="Upgrade",IF(OR(H78=4,H78=5),_xlfn.XLOOKUP(I78,'Renewal Rates'!$A$22:$A$27,'Renewal Rates'!$B$22:$B$27,'Renewal Rates'!$B$27,0),'Renewal Rates'!$F$7),IF(A78="Renewal",100%,0%))</f>
        <v>2.6599999999999999E-2</v>
      </c>
      <c r="U78" s="68">
        <f t="shared" si="1"/>
        <v>14598.697385999998</v>
      </c>
      <c r="V78" s="68"/>
    </row>
    <row r="79" spans="1:22" x14ac:dyDescent="0.3">
      <c r="A79" s="41" t="s">
        <v>21</v>
      </c>
      <c r="B79" s="51">
        <v>8.0139999999999993</v>
      </c>
      <c r="C79" s="58">
        <v>2000139296</v>
      </c>
      <c r="D79" s="86">
        <v>37.04</v>
      </c>
      <c r="E79" s="86"/>
      <c r="F79" s="52">
        <v>525</v>
      </c>
      <c r="G79" s="53">
        <v>1200</v>
      </c>
      <c r="H79" s="53" t="s">
        <v>122</v>
      </c>
      <c r="I79" s="45" t="s">
        <v>122</v>
      </c>
      <c r="J79" s="41">
        <v>368</v>
      </c>
      <c r="K79" s="54" t="s">
        <v>23</v>
      </c>
      <c r="L79" s="54" t="s">
        <v>24</v>
      </c>
      <c r="M79" s="55">
        <v>289145</v>
      </c>
      <c r="N79" s="55">
        <v>7806</v>
      </c>
      <c r="O79" s="55">
        <v>98309</v>
      </c>
      <c r="P79" s="55">
        <v>387454</v>
      </c>
      <c r="Q79" s="56">
        <v>0.4</v>
      </c>
      <c r="R79" s="55">
        <v>154981</v>
      </c>
      <c r="S79" s="57">
        <v>542435.07999999996</v>
      </c>
      <c r="T79" s="106">
        <f>IF(A79="Upgrade",IF(OR(H79=4,H79=5),_xlfn.XLOOKUP(I79,'Renewal Rates'!$A$22:$A$27,'Renewal Rates'!$B$22:$B$27,'Renewal Rates'!$B$27,0),'Renewal Rates'!$F$7),IF(A79="Renewal",100%,0%))</f>
        <v>2.6599999999999999E-2</v>
      </c>
      <c r="U79" s="68">
        <f t="shared" si="1"/>
        <v>14428.773127999999</v>
      </c>
      <c r="V79" s="68"/>
    </row>
    <row r="80" spans="1:22" x14ac:dyDescent="0.3">
      <c r="A80" s="41" t="s">
        <v>21</v>
      </c>
      <c r="B80" s="51">
        <v>8.0129999999999999</v>
      </c>
      <c r="C80" s="58">
        <v>2000687142</v>
      </c>
      <c r="D80" s="86">
        <v>11.89</v>
      </c>
      <c r="E80" s="86"/>
      <c r="F80" s="52">
        <v>450</v>
      </c>
      <c r="G80" s="53">
        <v>1125</v>
      </c>
      <c r="H80" s="53" t="s">
        <v>122</v>
      </c>
      <c r="I80" s="45" t="s">
        <v>122</v>
      </c>
      <c r="J80" s="41">
        <v>368</v>
      </c>
      <c r="K80" s="54" t="s">
        <v>23</v>
      </c>
      <c r="L80" s="54" t="s">
        <v>24</v>
      </c>
      <c r="M80" s="55">
        <v>153812</v>
      </c>
      <c r="N80" s="55">
        <v>12931</v>
      </c>
      <c r="O80" s="55">
        <v>52296</v>
      </c>
      <c r="P80" s="55">
        <v>206108</v>
      </c>
      <c r="Q80" s="56">
        <v>0.4</v>
      </c>
      <c r="R80" s="55">
        <v>82443</v>
      </c>
      <c r="S80" s="57">
        <v>288550.65000000002</v>
      </c>
      <c r="T80" s="106">
        <f>IF(A80="Upgrade",IF(OR(H80=4,H80=5),_xlfn.XLOOKUP(I80,'Renewal Rates'!$A$22:$A$27,'Renewal Rates'!$B$22:$B$27,'Renewal Rates'!$B$27,0),'Renewal Rates'!$F$7),IF(A80="Renewal",100%,0%))</f>
        <v>2.6599999999999999E-2</v>
      </c>
      <c r="U80" s="68">
        <f t="shared" si="1"/>
        <v>7675.4472900000001</v>
      </c>
      <c r="V80" s="68"/>
    </row>
    <row r="81" spans="1:22" x14ac:dyDescent="0.3">
      <c r="A81" s="87" t="s">
        <v>21</v>
      </c>
      <c r="B81" s="89">
        <v>8.0139999999999993</v>
      </c>
      <c r="C81" s="88">
        <v>2000596072</v>
      </c>
      <c r="D81" s="90">
        <v>19.100000000000001</v>
      </c>
      <c r="E81" s="90"/>
      <c r="F81" s="91">
        <v>525</v>
      </c>
      <c r="G81" s="92">
        <v>1200</v>
      </c>
      <c r="H81" s="92" t="s">
        <v>122</v>
      </c>
      <c r="I81" s="93" t="s">
        <v>122</v>
      </c>
      <c r="J81" s="87">
        <v>368</v>
      </c>
      <c r="K81" s="94" t="s">
        <v>23</v>
      </c>
      <c r="L81" s="94" t="s">
        <v>24</v>
      </c>
      <c r="M81" s="95">
        <v>10042</v>
      </c>
      <c r="N81" s="95">
        <v>-10042</v>
      </c>
      <c r="O81" s="95">
        <v>3414</v>
      </c>
      <c r="P81" s="95">
        <v>13457</v>
      </c>
      <c r="Q81" s="96">
        <v>0.4</v>
      </c>
      <c r="R81" s="95">
        <v>5383</v>
      </c>
      <c r="S81" s="97">
        <v>18839.240000000002</v>
      </c>
      <c r="T81" s="106">
        <f>IF(A81="Upgrade",IF(OR(H81=4,H81=5),_xlfn.XLOOKUP(I81,'Renewal Rates'!$A$22:$A$27,'Renewal Rates'!$B$22:$B$27,'Renewal Rates'!$B$27,0),'Renewal Rates'!$F$7),IF(A81="Renewal",100%,0%))</f>
        <v>2.6599999999999999E-2</v>
      </c>
      <c r="U81" s="68">
        <f t="shared" si="1"/>
        <v>501.123784</v>
      </c>
      <c r="V81" s="68"/>
    </row>
    <row r="82" spans="1:22" ht="14.4" x14ac:dyDescent="0.3">
      <c r="A82" s="1" t="s">
        <v>25</v>
      </c>
      <c r="B82" s="45">
        <v>1.008</v>
      </c>
      <c r="C82" s="62"/>
      <c r="D82" s="98">
        <v>122.97895200000001</v>
      </c>
      <c r="E82" s="98"/>
      <c r="F82" s="63"/>
      <c r="G82" s="64">
        <v>375</v>
      </c>
      <c r="H82" s="63"/>
      <c r="I82" s="45" t="s">
        <v>122</v>
      </c>
      <c r="J82" s="1">
        <v>376</v>
      </c>
      <c r="K82" s="65" t="s">
        <v>23</v>
      </c>
      <c r="L82" s="65" t="s">
        <v>24</v>
      </c>
      <c r="M82" s="66">
        <v>253249</v>
      </c>
      <c r="N82" s="66">
        <v>2059</v>
      </c>
      <c r="O82" s="66">
        <v>86105</v>
      </c>
      <c r="P82" s="66">
        <v>339353</v>
      </c>
      <c r="Q82" s="67">
        <v>0.4</v>
      </c>
      <c r="R82" s="66">
        <v>135741</v>
      </c>
      <c r="S82" s="55">
        <v>475094.69</v>
      </c>
      <c r="T82" s="106">
        <f>IF(A82="Upgrade",IF(OR(H82=4,H82=5),_xlfn.XLOOKUP(I82,'Renewal Rates'!$A$22:$A$27,'Renewal Rates'!$B$22:$B$27,'Renewal Rates'!$B$27,0),'Renewal Rates'!$F$7),IF(A82="Renewal",100%,0%))</f>
        <v>0</v>
      </c>
      <c r="U82" s="68">
        <f t="shared" si="1"/>
        <v>0</v>
      </c>
      <c r="V82" s="68"/>
    </row>
    <row r="83" spans="1:22" ht="14.4" x14ac:dyDescent="0.3">
      <c r="A83" s="1" t="s">
        <v>25</v>
      </c>
      <c r="B83" s="45">
        <v>1.0049999999999999</v>
      </c>
      <c r="C83" s="62"/>
      <c r="D83" s="98">
        <v>149.98971299999999</v>
      </c>
      <c r="E83" s="98"/>
      <c r="F83" s="63"/>
      <c r="G83" s="64">
        <v>750</v>
      </c>
      <c r="H83" s="63"/>
      <c r="I83" s="45" t="s">
        <v>122</v>
      </c>
      <c r="J83" s="1">
        <v>376</v>
      </c>
      <c r="K83" s="65" t="s">
        <v>23</v>
      </c>
      <c r="L83" s="65" t="s">
        <v>24</v>
      </c>
      <c r="M83" s="66">
        <v>594039</v>
      </c>
      <c r="N83" s="66">
        <v>3961</v>
      </c>
      <c r="O83" s="66">
        <v>201973</v>
      </c>
      <c r="P83" s="66">
        <v>796013</v>
      </c>
      <c r="Q83" s="67">
        <v>0.4</v>
      </c>
      <c r="R83" s="66">
        <v>318405</v>
      </c>
      <c r="S83" s="55">
        <v>1114417.79</v>
      </c>
      <c r="T83" s="106">
        <f>IF(A83="Upgrade",IF(OR(H83=4,H83=5),_xlfn.XLOOKUP(I83,'Renewal Rates'!$A$22:$A$27,'Renewal Rates'!$B$22:$B$27,'Renewal Rates'!$B$27,0),'Renewal Rates'!$F$7),IF(A83="Renewal",100%,0%))</f>
        <v>0</v>
      </c>
      <c r="U83" s="68">
        <f t="shared" si="1"/>
        <v>0</v>
      </c>
      <c r="V83" s="68"/>
    </row>
    <row r="84" spans="1:22" ht="14.4" x14ac:dyDescent="0.3">
      <c r="A84" s="1" t="s">
        <v>25</v>
      </c>
      <c r="B84" s="45">
        <v>1.004</v>
      </c>
      <c r="C84" s="62"/>
      <c r="D84" s="98">
        <v>96.766087999999996</v>
      </c>
      <c r="E84" s="98"/>
      <c r="F84" s="63"/>
      <c r="G84" s="64">
        <v>600</v>
      </c>
      <c r="H84" s="63"/>
      <c r="I84" s="45" t="s">
        <v>122</v>
      </c>
      <c r="J84" s="1">
        <v>376</v>
      </c>
      <c r="K84" s="65" t="s">
        <v>23</v>
      </c>
      <c r="L84" s="65" t="s">
        <v>24</v>
      </c>
      <c r="M84" s="66">
        <v>317442</v>
      </c>
      <c r="N84" s="66">
        <v>3281</v>
      </c>
      <c r="O84" s="66">
        <v>107930</v>
      </c>
      <c r="P84" s="66">
        <v>425373</v>
      </c>
      <c r="Q84" s="67">
        <v>0.4</v>
      </c>
      <c r="R84" s="66">
        <v>170149</v>
      </c>
      <c r="S84" s="55">
        <v>595521.51</v>
      </c>
      <c r="T84" s="106">
        <f>IF(A84="Upgrade",IF(OR(H84=4,H84=5),_xlfn.XLOOKUP(I84,'Renewal Rates'!$A$22:$A$27,'Renewal Rates'!$B$22:$B$27,'Renewal Rates'!$B$27,0),'Renewal Rates'!$F$7),IF(A84="Renewal",100%,0%))</f>
        <v>0</v>
      </c>
      <c r="U84" s="68">
        <f t="shared" si="1"/>
        <v>0</v>
      </c>
      <c r="V84" s="68"/>
    </row>
    <row r="85" spans="1:22" ht="14.4" x14ac:dyDescent="0.3">
      <c r="A85" s="1" t="s">
        <v>25</v>
      </c>
      <c r="B85" s="45">
        <v>1.0029999999999999</v>
      </c>
      <c r="C85" s="62"/>
      <c r="D85" s="98">
        <v>37.778323</v>
      </c>
      <c r="E85" s="98"/>
      <c r="F85" s="63"/>
      <c r="G85" s="64">
        <v>375</v>
      </c>
      <c r="H85" s="63"/>
      <c r="I85" s="45" t="s">
        <v>122</v>
      </c>
      <c r="J85" s="1">
        <v>368</v>
      </c>
      <c r="K85" s="65" t="s">
        <v>23</v>
      </c>
      <c r="L85" s="65" t="s">
        <v>24</v>
      </c>
      <c r="M85" s="66">
        <v>91777</v>
      </c>
      <c r="N85" s="66">
        <v>2429</v>
      </c>
      <c r="O85" s="66">
        <v>31204</v>
      </c>
      <c r="P85" s="66">
        <v>122982</v>
      </c>
      <c r="Q85" s="67">
        <v>0.4</v>
      </c>
      <c r="R85" s="66">
        <v>49193</v>
      </c>
      <c r="S85" s="55">
        <v>172174.18</v>
      </c>
      <c r="T85" s="106">
        <f>IF(A85="Upgrade",IF(OR(H85=4,H85=5),_xlfn.XLOOKUP(I85,'Renewal Rates'!$A$22:$A$27,'Renewal Rates'!$B$22:$B$27,'Renewal Rates'!$B$27,0),'Renewal Rates'!$F$7),IF(A85="Renewal",100%,0%))</f>
        <v>0</v>
      </c>
      <c r="U85" s="68">
        <f t="shared" si="1"/>
        <v>0</v>
      </c>
      <c r="V85" s="68"/>
    </row>
    <row r="86" spans="1:22" ht="14.4" x14ac:dyDescent="0.3">
      <c r="A86" s="1" t="s">
        <v>25</v>
      </c>
      <c r="B86" s="45">
        <v>1.0009999999999999</v>
      </c>
      <c r="C86" s="62"/>
      <c r="D86" s="98">
        <v>55.455094000000003</v>
      </c>
      <c r="E86" s="98"/>
      <c r="F86" s="63"/>
      <c r="G86" s="64">
        <v>450</v>
      </c>
      <c r="H86" s="63"/>
      <c r="I86" s="45" t="s">
        <v>122</v>
      </c>
      <c r="J86" s="1">
        <v>368</v>
      </c>
      <c r="K86" s="65" t="s">
        <v>23</v>
      </c>
      <c r="L86" s="65" t="s">
        <v>24</v>
      </c>
      <c r="M86" s="66">
        <v>161567</v>
      </c>
      <c r="N86" s="66">
        <v>2913</v>
      </c>
      <c r="O86" s="66">
        <v>54933</v>
      </c>
      <c r="P86" s="66">
        <v>216500</v>
      </c>
      <c r="Q86" s="67">
        <v>0.4</v>
      </c>
      <c r="R86" s="66">
        <v>86600</v>
      </c>
      <c r="S86" s="55">
        <v>303100.42</v>
      </c>
      <c r="T86" s="106">
        <f>IF(A86="Upgrade",IF(OR(H86=4,H86=5),_xlfn.XLOOKUP(I86,'Renewal Rates'!$A$22:$A$27,'Renewal Rates'!$B$22:$B$27,'Renewal Rates'!$B$27,0),'Renewal Rates'!$F$7),IF(A86="Renewal",100%,0%))</f>
        <v>0</v>
      </c>
      <c r="U86" s="68">
        <f t="shared" si="1"/>
        <v>0</v>
      </c>
      <c r="V86" s="68"/>
    </row>
    <row r="87" spans="1:22" ht="14.4" x14ac:dyDescent="0.3">
      <c r="A87" s="1" t="s">
        <v>25</v>
      </c>
      <c r="B87" s="45">
        <v>1.002</v>
      </c>
      <c r="C87" s="62"/>
      <c r="D87" s="98">
        <v>75.162858</v>
      </c>
      <c r="E87" s="98"/>
      <c r="F87" s="63"/>
      <c r="G87" s="64">
        <v>450</v>
      </c>
      <c r="H87" s="63"/>
      <c r="I87" s="45" t="s">
        <v>122</v>
      </c>
      <c r="J87" s="1">
        <v>368</v>
      </c>
      <c r="K87" s="65" t="s">
        <v>23</v>
      </c>
      <c r="L87" s="65" t="s">
        <v>24</v>
      </c>
      <c r="M87" s="66">
        <v>214489</v>
      </c>
      <c r="N87" s="66">
        <v>2854</v>
      </c>
      <c r="O87" s="66">
        <v>72926</v>
      </c>
      <c r="P87" s="66">
        <v>287415</v>
      </c>
      <c r="Q87" s="67">
        <v>0.4</v>
      </c>
      <c r="R87" s="66">
        <v>114966</v>
      </c>
      <c r="S87" s="55">
        <v>402380.93</v>
      </c>
      <c r="T87" s="106">
        <f>IF(A87="Upgrade",IF(OR(H87=4,H87=5),_xlfn.XLOOKUP(I87,'Renewal Rates'!$A$22:$A$27,'Renewal Rates'!$B$22:$B$27,'Renewal Rates'!$B$27,0),'Renewal Rates'!$F$7),IF(A87="Renewal",100%,0%))</f>
        <v>0</v>
      </c>
      <c r="U87" s="68">
        <f t="shared" si="1"/>
        <v>0</v>
      </c>
      <c r="V87" s="68"/>
    </row>
    <row r="88" spans="1:22" ht="14.4" x14ac:dyDescent="0.3">
      <c r="A88" s="1" t="s">
        <v>25</v>
      </c>
      <c r="B88" s="45">
        <v>1.006</v>
      </c>
      <c r="C88" s="62"/>
      <c r="D88" s="98">
        <v>63.183075000000002</v>
      </c>
      <c r="E88" s="98"/>
      <c r="F88" s="63"/>
      <c r="G88" s="64">
        <v>450</v>
      </c>
      <c r="H88" s="63"/>
      <c r="I88" s="45" t="s">
        <v>122</v>
      </c>
      <c r="J88" s="1">
        <v>377</v>
      </c>
      <c r="K88" s="65" t="s">
        <v>23</v>
      </c>
      <c r="L88" s="65" t="s">
        <v>24</v>
      </c>
      <c r="M88" s="66">
        <v>202893</v>
      </c>
      <c r="N88" s="66">
        <v>3211</v>
      </c>
      <c r="O88" s="66">
        <v>68984</v>
      </c>
      <c r="P88" s="66">
        <v>271876</v>
      </c>
      <c r="Q88" s="67">
        <v>0.4</v>
      </c>
      <c r="R88" s="66">
        <v>108751</v>
      </c>
      <c r="S88" s="55">
        <v>380627.08</v>
      </c>
      <c r="T88" s="106">
        <f>IF(A88="Upgrade",IF(OR(H88=4,H88=5),_xlfn.XLOOKUP(I88,'Renewal Rates'!$A$22:$A$27,'Renewal Rates'!$B$22:$B$27,'Renewal Rates'!$B$27,0),'Renewal Rates'!$F$7),IF(A88="Renewal",100%,0%))</f>
        <v>0</v>
      </c>
      <c r="U88" s="68">
        <f t="shared" si="1"/>
        <v>0</v>
      </c>
      <c r="V88" s="68"/>
    </row>
    <row r="89" spans="1:22" ht="14.4" x14ac:dyDescent="0.3">
      <c r="A89" s="1" t="s">
        <v>25</v>
      </c>
      <c r="B89" s="45">
        <v>2.0019999999999998</v>
      </c>
      <c r="C89" s="62"/>
      <c r="D89" s="98">
        <v>62.082058000000004</v>
      </c>
      <c r="E89" s="98"/>
      <c r="F89" s="63"/>
      <c r="G89" s="64">
        <v>450</v>
      </c>
      <c r="H89" s="63"/>
      <c r="I89" s="45" t="s">
        <v>122</v>
      </c>
      <c r="J89" s="1">
        <v>376</v>
      </c>
      <c r="K89" s="65" t="s">
        <v>23</v>
      </c>
      <c r="L89" s="65" t="s">
        <v>24</v>
      </c>
      <c r="M89" s="66">
        <v>185728</v>
      </c>
      <c r="N89" s="66">
        <v>2992</v>
      </c>
      <c r="O89" s="66">
        <v>63148</v>
      </c>
      <c r="P89" s="66">
        <v>248876</v>
      </c>
      <c r="Q89" s="67">
        <v>0.4</v>
      </c>
      <c r="R89" s="66">
        <v>99550</v>
      </c>
      <c r="S89" s="55">
        <v>348426.06</v>
      </c>
      <c r="T89" s="106">
        <f>IF(A89="Upgrade",IF(OR(H89=4,H89=5),_xlfn.XLOOKUP(I89,'Renewal Rates'!$A$22:$A$27,'Renewal Rates'!$B$22:$B$27,'Renewal Rates'!$B$27,0),'Renewal Rates'!$F$7),IF(A89="Renewal",100%,0%))</f>
        <v>0</v>
      </c>
      <c r="U89" s="68">
        <f t="shared" si="1"/>
        <v>0</v>
      </c>
      <c r="V89" s="68"/>
    </row>
    <row r="90" spans="1:22" ht="14.4" x14ac:dyDescent="0.3">
      <c r="A90" s="1" t="s">
        <v>25</v>
      </c>
      <c r="B90" s="45">
        <v>2.0070000000000001</v>
      </c>
      <c r="C90" s="62"/>
      <c r="D90" s="98">
        <v>103.985342</v>
      </c>
      <c r="E90" s="98"/>
      <c r="F90" s="63"/>
      <c r="G90" s="64">
        <v>450</v>
      </c>
      <c r="H90" s="63"/>
      <c r="I90" s="45" t="s">
        <v>122</v>
      </c>
      <c r="J90" s="1">
        <v>376</v>
      </c>
      <c r="K90" s="65" t="s">
        <v>23</v>
      </c>
      <c r="L90" s="65" t="s">
        <v>24</v>
      </c>
      <c r="M90" s="66">
        <v>293245</v>
      </c>
      <c r="N90" s="66">
        <v>2820</v>
      </c>
      <c r="O90" s="66">
        <v>99703</v>
      </c>
      <c r="P90" s="66">
        <v>392948</v>
      </c>
      <c r="Q90" s="67">
        <v>0.4</v>
      </c>
      <c r="R90" s="66">
        <v>157179</v>
      </c>
      <c r="S90" s="55">
        <v>550127.34</v>
      </c>
      <c r="T90" s="106">
        <f>IF(A90="Upgrade",IF(OR(H90=4,H90=5),_xlfn.XLOOKUP(I90,'Renewal Rates'!$A$22:$A$27,'Renewal Rates'!$B$22:$B$27,'Renewal Rates'!$B$27,0),'Renewal Rates'!$F$7),IF(A90="Renewal",100%,0%))</f>
        <v>0</v>
      </c>
      <c r="U90" s="68">
        <f t="shared" si="1"/>
        <v>0</v>
      </c>
      <c r="V90" s="68"/>
    </row>
    <row r="91" spans="1:22" ht="14.4" x14ac:dyDescent="0.3">
      <c r="A91" s="1" t="s">
        <v>25</v>
      </c>
      <c r="B91" s="45">
        <v>2.0009999999999999</v>
      </c>
      <c r="C91" s="62"/>
      <c r="D91" s="98">
        <v>111.506073</v>
      </c>
      <c r="E91" s="98"/>
      <c r="F91" s="63"/>
      <c r="G91" s="64">
        <v>525</v>
      </c>
      <c r="H91" s="63"/>
      <c r="I91" s="45" t="s">
        <v>122</v>
      </c>
      <c r="J91" s="1">
        <v>376</v>
      </c>
      <c r="K91" s="65" t="s">
        <v>23</v>
      </c>
      <c r="L91" s="65" t="s">
        <v>24</v>
      </c>
      <c r="M91" s="66">
        <v>334511</v>
      </c>
      <c r="N91" s="66">
        <v>3000</v>
      </c>
      <c r="O91" s="66">
        <v>113734</v>
      </c>
      <c r="P91" s="66">
        <v>448245</v>
      </c>
      <c r="Q91" s="67">
        <v>0.4</v>
      </c>
      <c r="R91" s="66">
        <v>179298</v>
      </c>
      <c r="S91" s="55">
        <v>627543.4</v>
      </c>
      <c r="T91" s="106">
        <f>IF(A91="Upgrade",IF(OR(H91=4,H91=5),_xlfn.XLOOKUP(I91,'Renewal Rates'!$A$22:$A$27,'Renewal Rates'!$B$22:$B$27,'Renewal Rates'!$B$27,0),'Renewal Rates'!$F$7),IF(A91="Renewal",100%,0%))</f>
        <v>0</v>
      </c>
      <c r="U91" s="68">
        <f t="shared" si="1"/>
        <v>0</v>
      </c>
      <c r="V91" s="68"/>
    </row>
    <row r="92" spans="1:22" ht="14.4" x14ac:dyDescent="0.3">
      <c r="A92" s="1" t="s">
        <v>25</v>
      </c>
      <c r="B92" s="45">
        <v>2.004</v>
      </c>
      <c r="C92" s="62"/>
      <c r="D92" s="98">
        <v>107.764413</v>
      </c>
      <c r="E92" s="98"/>
      <c r="F92" s="63"/>
      <c r="G92" s="64">
        <v>525</v>
      </c>
      <c r="H92" s="63"/>
      <c r="I92" s="45" t="s">
        <v>122</v>
      </c>
      <c r="J92" s="1">
        <v>376</v>
      </c>
      <c r="K92" s="65" t="s">
        <v>23</v>
      </c>
      <c r="L92" s="65" t="s">
        <v>24</v>
      </c>
      <c r="M92" s="66">
        <v>347625</v>
      </c>
      <c r="N92" s="66">
        <v>3226</v>
      </c>
      <c r="O92" s="66">
        <v>118193</v>
      </c>
      <c r="P92" s="66">
        <v>465818</v>
      </c>
      <c r="Q92" s="67">
        <v>0.4</v>
      </c>
      <c r="R92" s="66">
        <v>186327</v>
      </c>
      <c r="S92" s="55">
        <v>652144.64000000001</v>
      </c>
      <c r="T92" s="106">
        <f>IF(A92="Upgrade",IF(OR(H92=4,H92=5),_xlfn.XLOOKUP(I92,'Renewal Rates'!$A$22:$A$27,'Renewal Rates'!$B$22:$B$27,'Renewal Rates'!$B$27,0),'Renewal Rates'!$F$7),IF(A92="Renewal",100%,0%))</f>
        <v>0</v>
      </c>
      <c r="U92" s="68">
        <f t="shared" si="1"/>
        <v>0</v>
      </c>
      <c r="V92" s="68"/>
    </row>
    <row r="93" spans="1:22" ht="14.4" x14ac:dyDescent="0.3">
      <c r="A93" s="1" t="s">
        <v>25</v>
      </c>
      <c r="B93" s="45">
        <v>2.0049999999999999</v>
      </c>
      <c r="C93" s="62"/>
      <c r="D93" s="98">
        <v>65.311413999999999</v>
      </c>
      <c r="E93" s="98"/>
      <c r="F93" s="63"/>
      <c r="G93" s="64">
        <v>450</v>
      </c>
      <c r="H93" s="63"/>
      <c r="I93" s="45" t="s">
        <v>122</v>
      </c>
      <c r="J93" s="1">
        <v>376</v>
      </c>
      <c r="K93" s="65" t="s">
        <v>23</v>
      </c>
      <c r="L93" s="65" t="s">
        <v>24</v>
      </c>
      <c r="M93" s="66">
        <v>188030</v>
      </c>
      <c r="N93" s="66">
        <v>2879</v>
      </c>
      <c r="O93" s="66">
        <v>63930</v>
      </c>
      <c r="P93" s="66">
        <v>251960</v>
      </c>
      <c r="Q93" s="67">
        <v>0.4</v>
      </c>
      <c r="R93" s="66">
        <v>100784</v>
      </c>
      <c r="S93" s="55">
        <v>352743.94</v>
      </c>
      <c r="T93" s="106">
        <f>IF(A93="Upgrade",IF(OR(H93=4,H93=5),_xlfn.XLOOKUP(I93,'Renewal Rates'!$A$22:$A$27,'Renewal Rates'!$B$22:$B$27,'Renewal Rates'!$B$27,0),'Renewal Rates'!$F$7),IF(A93="Renewal",100%,0%))</f>
        <v>0</v>
      </c>
      <c r="U93" s="68">
        <f t="shared" si="1"/>
        <v>0</v>
      </c>
      <c r="V93" s="68"/>
    </row>
    <row r="94" spans="1:22" ht="14.4" x14ac:dyDescent="0.3">
      <c r="A94" s="1" t="s">
        <v>25</v>
      </c>
      <c r="B94" s="45">
        <v>2.0059999999999998</v>
      </c>
      <c r="C94" s="62"/>
      <c r="D94" s="98">
        <v>96.654003000000003</v>
      </c>
      <c r="E94" s="98"/>
      <c r="F94" s="63"/>
      <c r="G94" s="64">
        <v>525</v>
      </c>
      <c r="H94" s="63"/>
      <c r="I94" s="45" t="s">
        <v>122</v>
      </c>
      <c r="J94" s="1">
        <v>376</v>
      </c>
      <c r="K94" s="65" t="s">
        <v>23</v>
      </c>
      <c r="L94" s="65" t="s">
        <v>24</v>
      </c>
      <c r="M94" s="66">
        <v>283236</v>
      </c>
      <c r="N94" s="66">
        <v>2930</v>
      </c>
      <c r="O94" s="66">
        <v>96300</v>
      </c>
      <c r="P94" s="66">
        <v>379537</v>
      </c>
      <c r="Q94" s="67">
        <v>0.4</v>
      </c>
      <c r="R94" s="66">
        <v>151815</v>
      </c>
      <c r="S94" s="55">
        <v>531351.48</v>
      </c>
      <c r="T94" s="106">
        <f>IF(A94="Upgrade",IF(OR(H94=4,H94=5),_xlfn.XLOOKUP(I94,'Renewal Rates'!$A$22:$A$27,'Renewal Rates'!$B$22:$B$27,'Renewal Rates'!$B$27,0),'Renewal Rates'!$F$7),IF(A94="Renewal",100%,0%))</f>
        <v>0</v>
      </c>
      <c r="U94" s="68">
        <f t="shared" si="1"/>
        <v>0</v>
      </c>
      <c r="V94" s="68"/>
    </row>
    <row r="95" spans="1:22" ht="14.4" x14ac:dyDescent="0.3">
      <c r="A95" s="1" t="s">
        <v>25</v>
      </c>
      <c r="B95" s="45">
        <v>4.0010000000000003</v>
      </c>
      <c r="C95" s="62"/>
      <c r="D95" s="98">
        <v>66.879165</v>
      </c>
      <c r="E95" s="98"/>
      <c r="F95" s="63"/>
      <c r="G95" s="64">
        <v>300</v>
      </c>
      <c r="H95" s="63"/>
      <c r="I95" s="45" t="s">
        <v>122</v>
      </c>
      <c r="J95" s="1">
        <v>374</v>
      </c>
      <c r="K95" s="65" t="s">
        <v>23</v>
      </c>
      <c r="L95" s="65" t="s">
        <v>24</v>
      </c>
      <c r="M95" s="66">
        <v>144368</v>
      </c>
      <c r="N95" s="66">
        <v>2159</v>
      </c>
      <c r="O95" s="66">
        <v>49085</v>
      </c>
      <c r="P95" s="66">
        <v>193453</v>
      </c>
      <c r="Q95" s="67">
        <v>0.4</v>
      </c>
      <c r="R95" s="66">
        <v>77381</v>
      </c>
      <c r="S95" s="55">
        <v>270834.65746679995</v>
      </c>
      <c r="T95" s="106">
        <f>IF(A95="Upgrade",IF(OR(H95=4,H95=5),_xlfn.XLOOKUP(I95,'Renewal Rates'!$A$22:$A$27,'Renewal Rates'!$B$22:$B$27,'Renewal Rates'!$B$27,0),'Renewal Rates'!$F$7),IF(A95="Renewal",100%,0%))</f>
        <v>0</v>
      </c>
      <c r="U95" s="68">
        <f t="shared" si="1"/>
        <v>0</v>
      </c>
      <c r="V95" s="68"/>
    </row>
    <row r="96" spans="1:22" ht="14.4" x14ac:dyDescent="0.3">
      <c r="A96" s="1" t="s">
        <v>25</v>
      </c>
      <c r="B96" s="45">
        <v>4.0049999999999999</v>
      </c>
      <c r="C96" s="62"/>
      <c r="D96" s="98">
        <v>170.358341</v>
      </c>
      <c r="E96" s="98"/>
      <c r="F96" s="63"/>
      <c r="G96" s="64">
        <v>675</v>
      </c>
      <c r="H96" s="63"/>
      <c r="I96" s="45" t="s">
        <v>122</v>
      </c>
      <c r="J96" s="1">
        <v>374</v>
      </c>
      <c r="K96" s="65" t="s">
        <v>23</v>
      </c>
      <c r="L96" s="65" t="s">
        <v>24</v>
      </c>
      <c r="M96" s="66">
        <v>639719</v>
      </c>
      <c r="N96" s="66">
        <v>3755</v>
      </c>
      <c r="O96" s="66">
        <v>217505</v>
      </c>
      <c r="P96" s="66">
        <v>857224</v>
      </c>
      <c r="Q96" s="67">
        <v>0.4</v>
      </c>
      <c r="R96" s="66">
        <v>342890</v>
      </c>
      <c r="S96" s="55">
        <v>1200113.3587744001</v>
      </c>
      <c r="T96" s="106">
        <f>IF(A96="Upgrade",IF(OR(H96=4,H96=5),_xlfn.XLOOKUP(I96,'Renewal Rates'!$A$22:$A$27,'Renewal Rates'!$B$22:$B$27,'Renewal Rates'!$B$27,0),'Renewal Rates'!$F$7),IF(A96="Renewal",100%,0%))</f>
        <v>0</v>
      </c>
      <c r="U96" s="68">
        <f t="shared" si="1"/>
        <v>0</v>
      </c>
      <c r="V96" s="68"/>
    </row>
    <row r="97" spans="1:22" ht="14.4" x14ac:dyDescent="0.3">
      <c r="A97" s="1" t="s">
        <v>25</v>
      </c>
      <c r="B97" s="45">
        <v>4.0039999999999996</v>
      </c>
      <c r="C97" s="62"/>
      <c r="D97" s="98">
        <v>36.440966000000003</v>
      </c>
      <c r="E97" s="98"/>
      <c r="F97" s="63"/>
      <c r="G97" s="64">
        <v>750</v>
      </c>
      <c r="H97" s="63"/>
      <c r="I97" s="45" t="s">
        <v>122</v>
      </c>
      <c r="J97" s="1">
        <v>374</v>
      </c>
      <c r="K97" s="65" t="s">
        <v>23</v>
      </c>
      <c r="L97" s="65" t="s">
        <v>24</v>
      </c>
      <c r="M97" s="66">
        <v>157409</v>
      </c>
      <c r="N97" s="66">
        <v>4320</v>
      </c>
      <c r="O97" s="66">
        <v>53519</v>
      </c>
      <c r="P97" s="66">
        <v>210928</v>
      </c>
      <c r="Q97" s="67">
        <v>0.4</v>
      </c>
      <c r="R97" s="66">
        <v>84371</v>
      </c>
      <c r="S97" s="55">
        <v>295298.58988000004</v>
      </c>
      <c r="T97" s="106">
        <f>IF(A97="Upgrade",IF(OR(H97=4,H97=5),_xlfn.XLOOKUP(I97,'Renewal Rates'!$A$22:$A$27,'Renewal Rates'!$B$22:$B$27,'Renewal Rates'!$B$27,0),'Renewal Rates'!$F$7),IF(A97="Renewal",100%,0%))</f>
        <v>0</v>
      </c>
      <c r="U97" s="68">
        <f t="shared" si="1"/>
        <v>0</v>
      </c>
      <c r="V97" s="68"/>
    </row>
    <row r="98" spans="1:22" ht="14.4" x14ac:dyDescent="0.3">
      <c r="A98" s="1" t="s">
        <v>25</v>
      </c>
      <c r="B98" s="45">
        <v>4.0030000000000001</v>
      </c>
      <c r="C98" s="62"/>
      <c r="D98" s="98">
        <v>98.522593000000001</v>
      </c>
      <c r="E98" s="98"/>
      <c r="F98" s="63"/>
      <c r="G98" s="64">
        <v>450</v>
      </c>
      <c r="H98" s="63"/>
      <c r="I98" s="45" t="s">
        <v>122</v>
      </c>
      <c r="J98" s="1">
        <v>374</v>
      </c>
      <c r="K98" s="65" t="s">
        <v>23</v>
      </c>
      <c r="L98" s="65" t="s">
        <v>24</v>
      </c>
      <c r="M98" s="66">
        <v>250575</v>
      </c>
      <c r="N98" s="66">
        <v>2543</v>
      </c>
      <c r="O98" s="66">
        <v>85196</v>
      </c>
      <c r="P98" s="66">
        <v>335771</v>
      </c>
      <c r="Q98" s="67">
        <v>0.4</v>
      </c>
      <c r="R98" s="66">
        <v>134308</v>
      </c>
      <c r="S98" s="55">
        <v>470079.43895640003</v>
      </c>
      <c r="T98" s="106">
        <f>IF(A98="Upgrade",IF(OR(H98=4,H98=5),_xlfn.XLOOKUP(I98,'Renewal Rates'!$A$22:$A$27,'Renewal Rates'!$B$22:$B$27,'Renewal Rates'!$B$27,0),'Renewal Rates'!$F$7),IF(A98="Renewal",100%,0%))</f>
        <v>0</v>
      </c>
      <c r="U98" s="68">
        <f t="shared" si="1"/>
        <v>0</v>
      </c>
      <c r="V98" s="68"/>
    </row>
    <row r="99" spans="1:22" ht="14.4" x14ac:dyDescent="0.3">
      <c r="A99" s="1" t="s">
        <v>25</v>
      </c>
      <c r="B99" s="45">
        <v>4.0019999999999998</v>
      </c>
      <c r="C99" s="62"/>
      <c r="D99" s="98">
        <v>85.430683999999999</v>
      </c>
      <c r="E99" s="98"/>
      <c r="F99" s="63"/>
      <c r="G99" s="64">
        <v>450</v>
      </c>
      <c r="H99" s="63"/>
      <c r="I99" s="45" t="s">
        <v>122</v>
      </c>
      <c r="J99" s="1">
        <v>374</v>
      </c>
      <c r="K99" s="65" t="s">
        <v>23</v>
      </c>
      <c r="L99" s="65" t="s">
        <v>24</v>
      </c>
      <c r="M99" s="66">
        <v>221807</v>
      </c>
      <c r="N99" s="66">
        <v>2596</v>
      </c>
      <c r="O99" s="66">
        <v>75414</v>
      </c>
      <c r="P99" s="66">
        <v>297221</v>
      </c>
      <c r="Q99" s="67">
        <v>0.4</v>
      </c>
      <c r="R99" s="66">
        <v>118888</v>
      </c>
      <c r="S99" s="55">
        <v>416109.71944920003</v>
      </c>
      <c r="T99" s="106">
        <f>IF(A99="Upgrade",IF(OR(H99=4,H99=5),_xlfn.XLOOKUP(I99,'Renewal Rates'!$A$22:$A$27,'Renewal Rates'!$B$22:$B$27,'Renewal Rates'!$B$27,0),'Renewal Rates'!$F$7),IF(A99="Renewal",100%,0%))</f>
        <v>0</v>
      </c>
      <c r="U99" s="68">
        <f t="shared" si="1"/>
        <v>0</v>
      </c>
      <c r="V99" s="68"/>
    </row>
    <row r="100" spans="1:22" ht="14.4" x14ac:dyDescent="0.3">
      <c r="A100" s="1" t="s">
        <v>25</v>
      </c>
      <c r="B100" s="45">
        <v>5.0019999999999998</v>
      </c>
      <c r="C100" s="62"/>
      <c r="D100" s="98">
        <v>43.469152000000001</v>
      </c>
      <c r="E100" s="98"/>
      <c r="F100" s="63"/>
      <c r="G100" s="64">
        <v>375</v>
      </c>
      <c r="H100" s="63"/>
      <c r="I100" s="45" t="s">
        <v>122</v>
      </c>
      <c r="J100" s="1">
        <v>385</v>
      </c>
      <c r="K100" s="65" t="s">
        <v>23</v>
      </c>
      <c r="L100" s="65" t="s">
        <v>24</v>
      </c>
      <c r="M100" s="66">
        <v>108187</v>
      </c>
      <c r="N100" s="66">
        <v>2489</v>
      </c>
      <c r="O100" s="66">
        <v>36784</v>
      </c>
      <c r="P100" s="66">
        <v>144971</v>
      </c>
      <c r="Q100" s="67">
        <v>0.4</v>
      </c>
      <c r="R100" s="66">
        <v>57988</v>
      </c>
      <c r="S100" s="55">
        <v>202958.97</v>
      </c>
      <c r="T100" s="106">
        <f>IF(A100="Upgrade",IF(OR(H100=4,H100=5),_xlfn.XLOOKUP(I100,'Renewal Rates'!$A$22:$A$27,'Renewal Rates'!$B$22:$B$27,'Renewal Rates'!$B$27,0),'Renewal Rates'!$F$7),IF(A100="Renewal",100%,0%))</f>
        <v>0</v>
      </c>
      <c r="U100" s="68">
        <f t="shared" si="1"/>
        <v>0</v>
      </c>
      <c r="V100" s="68"/>
    </row>
    <row r="101" spans="1:22" ht="14.4" x14ac:dyDescent="0.3">
      <c r="A101" s="1" t="s">
        <v>25</v>
      </c>
      <c r="B101" s="45">
        <v>5.0010000000000003</v>
      </c>
      <c r="C101" s="62"/>
      <c r="D101" s="98">
        <v>259.868087</v>
      </c>
      <c r="E101" s="98"/>
      <c r="F101" s="63"/>
      <c r="G101" s="64">
        <v>900</v>
      </c>
      <c r="H101" s="63"/>
      <c r="I101" s="45" t="s">
        <v>122</v>
      </c>
      <c r="J101" s="1">
        <v>385</v>
      </c>
      <c r="K101" s="65" t="s">
        <v>23</v>
      </c>
      <c r="L101" s="65" t="s">
        <v>24</v>
      </c>
      <c r="M101" s="66">
        <v>1358003</v>
      </c>
      <c r="N101" s="66">
        <v>5226</v>
      </c>
      <c r="O101" s="66">
        <v>461721</v>
      </c>
      <c r="P101" s="66">
        <v>1819724</v>
      </c>
      <c r="Q101" s="67">
        <v>0.4</v>
      </c>
      <c r="R101" s="66">
        <v>727890</v>
      </c>
      <c r="S101" s="55">
        <v>2547613.7200000002</v>
      </c>
      <c r="T101" s="106">
        <f>IF(A101="Upgrade",IF(OR(H101=4,H101=5),_xlfn.XLOOKUP(I101,'Renewal Rates'!$A$22:$A$27,'Renewal Rates'!$B$22:$B$27,'Renewal Rates'!$B$27,0),'Renewal Rates'!$F$7),IF(A101="Renewal",100%,0%))</f>
        <v>0</v>
      </c>
      <c r="U101" s="68">
        <f t="shared" si="1"/>
        <v>0</v>
      </c>
      <c r="V101" s="68"/>
    </row>
    <row r="102" spans="1:22" ht="14.4" x14ac:dyDescent="0.3">
      <c r="A102" s="1" t="s">
        <v>25</v>
      </c>
      <c r="B102" s="45">
        <v>8.0009999999999994</v>
      </c>
      <c r="C102" s="62"/>
      <c r="D102" s="98">
        <v>152.34419800000001</v>
      </c>
      <c r="E102" s="98"/>
      <c r="F102" s="63"/>
      <c r="G102" s="64">
        <v>450</v>
      </c>
      <c r="H102" s="63"/>
      <c r="I102" s="45" t="s">
        <v>122</v>
      </c>
      <c r="J102" s="1">
        <v>368</v>
      </c>
      <c r="K102" s="65" t="s">
        <v>23</v>
      </c>
      <c r="L102" s="65" t="s">
        <v>24</v>
      </c>
      <c r="M102" s="66">
        <v>405363</v>
      </c>
      <c r="N102" s="66">
        <v>2661</v>
      </c>
      <c r="O102" s="66">
        <v>137823</v>
      </c>
      <c r="P102" s="66">
        <v>543186</v>
      </c>
      <c r="Q102" s="67">
        <v>0.4</v>
      </c>
      <c r="R102" s="66">
        <v>217274</v>
      </c>
      <c r="S102" s="55">
        <v>760460.16</v>
      </c>
      <c r="T102" s="106">
        <f>IF(A102="Upgrade",IF(OR(H102=4,H102=5),_xlfn.XLOOKUP(I102,'Renewal Rates'!$A$22:$A$27,'Renewal Rates'!$B$22:$B$27,'Renewal Rates'!$B$27,0),'Renewal Rates'!$F$7),IF(A102="Renewal",100%,0%))</f>
        <v>0</v>
      </c>
      <c r="U102" s="68">
        <f t="shared" si="1"/>
        <v>0</v>
      </c>
      <c r="V102" s="68"/>
    </row>
    <row r="103" spans="1:22" ht="14.4" x14ac:dyDescent="0.3">
      <c r="A103" s="1" t="s">
        <v>25</v>
      </c>
      <c r="B103" s="45">
        <v>8.0030000000000001</v>
      </c>
      <c r="C103" s="62"/>
      <c r="D103" s="98">
        <v>77.070695000000001</v>
      </c>
      <c r="E103" s="98"/>
      <c r="F103" s="63"/>
      <c r="G103" s="64">
        <v>525</v>
      </c>
      <c r="H103" s="63"/>
      <c r="I103" s="45" t="s">
        <v>122</v>
      </c>
      <c r="J103" s="1">
        <v>368</v>
      </c>
      <c r="K103" s="65" t="s">
        <v>23</v>
      </c>
      <c r="L103" s="65" t="s">
        <v>24</v>
      </c>
      <c r="M103" s="66">
        <v>243646</v>
      </c>
      <c r="N103" s="66">
        <v>3161</v>
      </c>
      <c r="O103" s="66">
        <v>82840</v>
      </c>
      <c r="P103" s="66">
        <v>326485</v>
      </c>
      <c r="Q103" s="67">
        <v>0.4</v>
      </c>
      <c r="R103" s="66">
        <v>130594</v>
      </c>
      <c r="S103" s="55">
        <v>457079.31</v>
      </c>
      <c r="T103" s="106">
        <f>IF(A103="Upgrade",IF(OR(H103=4,H103=5),_xlfn.XLOOKUP(I103,'Renewal Rates'!$A$22:$A$27,'Renewal Rates'!$B$22:$B$27,'Renewal Rates'!$B$27,0),'Renewal Rates'!$F$7),IF(A103="Renewal",100%,0%))</f>
        <v>0</v>
      </c>
      <c r="U103" s="68">
        <f t="shared" si="1"/>
        <v>0</v>
      </c>
      <c r="V103" s="68"/>
    </row>
    <row r="104" spans="1:22" ht="14.4" x14ac:dyDescent="0.3">
      <c r="A104" s="1" t="s">
        <v>25</v>
      </c>
      <c r="B104" s="45">
        <v>8.0020000000000007</v>
      </c>
      <c r="C104" s="62"/>
      <c r="D104" s="98">
        <v>31.214371</v>
      </c>
      <c r="E104" s="98"/>
      <c r="F104" s="63"/>
      <c r="G104" s="64">
        <v>300</v>
      </c>
      <c r="H104" s="63"/>
      <c r="I104" s="45" t="s">
        <v>122</v>
      </c>
      <c r="J104" s="1">
        <v>368</v>
      </c>
      <c r="K104" s="65" t="s">
        <v>23</v>
      </c>
      <c r="L104" s="65" t="s">
        <v>24</v>
      </c>
      <c r="M104" s="66">
        <v>67483</v>
      </c>
      <c r="N104" s="66">
        <v>2162</v>
      </c>
      <c r="O104" s="66">
        <v>22944</v>
      </c>
      <c r="P104" s="66">
        <v>90427</v>
      </c>
      <c r="Q104" s="67">
        <v>0.4</v>
      </c>
      <c r="R104" s="66">
        <v>36171</v>
      </c>
      <c r="S104" s="55">
        <v>126597.26</v>
      </c>
      <c r="T104" s="106">
        <f>IF(A104="Upgrade",IF(OR(H104=4,H104=5),_xlfn.XLOOKUP(I104,'Renewal Rates'!$A$22:$A$27,'Renewal Rates'!$B$22:$B$27,'Renewal Rates'!$B$27,0),'Renewal Rates'!$F$7),IF(A104="Renewal",100%,0%))</f>
        <v>0</v>
      </c>
      <c r="U104" s="68">
        <f t="shared" si="1"/>
        <v>0</v>
      </c>
      <c r="V104" s="68"/>
    </row>
    <row r="105" spans="1:22" ht="14.4" x14ac:dyDescent="0.3">
      <c r="A105" s="1" t="s">
        <v>25</v>
      </c>
      <c r="B105" s="45">
        <v>9.0009999999999994</v>
      </c>
      <c r="C105" s="62"/>
      <c r="D105" s="98">
        <v>215.42990800000001</v>
      </c>
      <c r="E105" s="98"/>
      <c r="F105" s="63"/>
      <c r="G105" s="64">
        <v>825</v>
      </c>
      <c r="H105" s="63"/>
      <c r="I105" s="45" t="s">
        <v>122</v>
      </c>
      <c r="J105" s="1">
        <v>368</v>
      </c>
      <c r="K105" s="65" t="s">
        <v>23</v>
      </c>
      <c r="L105" s="65" t="s">
        <v>24</v>
      </c>
      <c r="M105" s="66">
        <v>939998</v>
      </c>
      <c r="N105" s="66">
        <v>4363</v>
      </c>
      <c r="O105" s="66">
        <v>319599</v>
      </c>
      <c r="P105" s="66">
        <v>1259597</v>
      </c>
      <c r="Q105" s="67">
        <v>0.4</v>
      </c>
      <c r="R105" s="66">
        <v>503839</v>
      </c>
      <c r="S105" s="55">
        <v>1763435.99</v>
      </c>
      <c r="T105" s="106">
        <f>IF(A105="Upgrade",IF(OR(H105=4,H105=5),_xlfn.XLOOKUP(I105,'Renewal Rates'!$A$22:$A$27,'Renewal Rates'!$B$22:$B$27,'Renewal Rates'!$B$27,0),'Renewal Rates'!$F$7),IF(A105="Renewal",100%,0%))</f>
        <v>0</v>
      </c>
      <c r="U105" s="68">
        <f t="shared" si="1"/>
        <v>0</v>
      </c>
      <c r="V105" s="68"/>
    </row>
    <row r="106" spans="1:22" ht="14.4" x14ac:dyDescent="0.3">
      <c r="A106" s="1" t="s">
        <v>25</v>
      </c>
      <c r="B106" s="45">
        <v>9.0060000000000002</v>
      </c>
      <c r="C106" s="62"/>
      <c r="D106" s="98">
        <v>40.636670000000002</v>
      </c>
      <c r="E106" s="98"/>
      <c r="F106" s="63"/>
      <c r="G106" s="64">
        <v>375</v>
      </c>
      <c r="H106" s="63"/>
      <c r="I106" s="45" t="s">
        <v>122</v>
      </c>
      <c r="J106" s="1">
        <v>375</v>
      </c>
      <c r="K106" s="65" t="s">
        <v>23</v>
      </c>
      <c r="L106" s="65" t="s">
        <v>24</v>
      </c>
      <c r="M106" s="66">
        <v>93359</v>
      </c>
      <c r="N106" s="66">
        <v>2297</v>
      </c>
      <c r="O106" s="66">
        <v>31742</v>
      </c>
      <c r="P106" s="66">
        <v>125102</v>
      </c>
      <c r="Q106" s="67">
        <v>0.4</v>
      </c>
      <c r="R106" s="66">
        <v>50041</v>
      </c>
      <c r="S106" s="55">
        <v>175142.13</v>
      </c>
      <c r="T106" s="106">
        <f>IF(A106="Upgrade",IF(OR(H106=4,H106=5),_xlfn.XLOOKUP(I106,'Renewal Rates'!$A$22:$A$27,'Renewal Rates'!$B$22:$B$27,'Renewal Rates'!$B$27,0),'Renewal Rates'!$F$7),IF(A106="Renewal",100%,0%))</f>
        <v>0</v>
      </c>
      <c r="U106" s="68">
        <f t="shared" si="1"/>
        <v>0</v>
      </c>
      <c r="V106" s="68"/>
    </row>
    <row r="107" spans="1:22" ht="14.4" x14ac:dyDescent="0.3">
      <c r="A107" s="1" t="s">
        <v>25</v>
      </c>
      <c r="B107" s="45">
        <v>10.009</v>
      </c>
      <c r="C107" s="62"/>
      <c r="D107" s="98">
        <v>222.87238500000001</v>
      </c>
      <c r="E107" s="98"/>
      <c r="F107" s="63"/>
      <c r="G107" s="64">
        <v>525</v>
      </c>
      <c r="H107" s="63"/>
      <c r="I107" s="45" t="s">
        <v>122</v>
      </c>
      <c r="J107" s="1">
        <v>376</v>
      </c>
      <c r="K107" s="65" t="s">
        <v>23</v>
      </c>
      <c r="L107" s="65" t="s">
        <v>24</v>
      </c>
      <c r="M107" s="66">
        <v>644413</v>
      </c>
      <c r="N107" s="66">
        <v>2891</v>
      </c>
      <c r="O107" s="66">
        <v>219100</v>
      </c>
      <c r="P107" s="66">
        <v>863513</v>
      </c>
      <c r="Q107" s="67">
        <v>0.4</v>
      </c>
      <c r="R107" s="66">
        <v>345405</v>
      </c>
      <c r="S107" s="55">
        <v>1208918.23</v>
      </c>
      <c r="T107" s="106">
        <f>IF(A107="Upgrade",IF(OR(H107=4,H107=5),_xlfn.XLOOKUP(I107,'Renewal Rates'!$A$22:$A$27,'Renewal Rates'!$B$22:$B$27,'Renewal Rates'!$B$27,0),'Renewal Rates'!$F$7),IF(A107="Renewal",100%,0%))</f>
        <v>0</v>
      </c>
      <c r="U107" s="68">
        <f t="shared" si="1"/>
        <v>0</v>
      </c>
      <c r="V107" s="68"/>
    </row>
    <row r="108" spans="1:22" ht="14.4" x14ac:dyDescent="0.3">
      <c r="A108" s="1" t="s">
        <v>25</v>
      </c>
      <c r="B108" s="45">
        <v>10.007999999999999</v>
      </c>
      <c r="C108" s="62"/>
      <c r="D108" s="98">
        <v>89.598269000000002</v>
      </c>
      <c r="E108" s="98"/>
      <c r="F108" s="63"/>
      <c r="G108" s="64">
        <v>525</v>
      </c>
      <c r="H108" s="63"/>
      <c r="I108" s="45" t="s">
        <v>122</v>
      </c>
      <c r="J108" s="1">
        <v>376</v>
      </c>
      <c r="K108" s="65" t="s">
        <v>23</v>
      </c>
      <c r="L108" s="65" t="s">
        <v>24</v>
      </c>
      <c r="M108" s="66">
        <v>257639</v>
      </c>
      <c r="N108" s="66">
        <v>2876</v>
      </c>
      <c r="O108" s="66">
        <v>87597</v>
      </c>
      <c r="P108" s="66">
        <v>345237</v>
      </c>
      <c r="Q108" s="67">
        <v>0.4</v>
      </c>
      <c r="R108" s="66">
        <v>138095</v>
      </c>
      <c r="S108" s="55">
        <v>483331.51</v>
      </c>
      <c r="T108" s="106">
        <f>IF(A108="Upgrade",IF(OR(H108=4,H108=5),_xlfn.XLOOKUP(I108,'Renewal Rates'!$A$22:$A$27,'Renewal Rates'!$B$22:$B$27,'Renewal Rates'!$B$27,0),'Renewal Rates'!$F$7),IF(A108="Renewal",100%,0%))</f>
        <v>0</v>
      </c>
      <c r="U108" s="68">
        <f t="shared" si="1"/>
        <v>0</v>
      </c>
      <c r="V108" s="68"/>
    </row>
    <row r="109" spans="1:22" ht="14.4" x14ac:dyDescent="0.3">
      <c r="A109" s="1" t="s">
        <v>25</v>
      </c>
      <c r="B109" s="45">
        <v>10.006</v>
      </c>
      <c r="C109" s="62"/>
      <c r="D109" s="98">
        <v>139.42648600000001</v>
      </c>
      <c r="E109" s="98"/>
      <c r="F109" s="63"/>
      <c r="G109" s="64">
        <v>525</v>
      </c>
      <c r="H109" s="63"/>
      <c r="I109" s="45" t="s">
        <v>122</v>
      </c>
      <c r="J109" s="1">
        <v>377</v>
      </c>
      <c r="K109" s="65" t="s">
        <v>23</v>
      </c>
      <c r="L109" s="65" t="s">
        <v>24</v>
      </c>
      <c r="M109" s="66">
        <v>397760</v>
      </c>
      <c r="N109" s="66">
        <v>2853</v>
      </c>
      <c r="O109" s="66">
        <v>135238</v>
      </c>
      <c r="P109" s="66">
        <v>532999</v>
      </c>
      <c r="Q109" s="67">
        <v>0.4</v>
      </c>
      <c r="R109" s="66">
        <v>213199</v>
      </c>
      <c r="S109" s="55">
        <v>746197.95</v>
      </c>
      <c r="T109" s="106">
        <f>IF(A109="Upgrade",IF(OR(H109=4,H109=5),_xlfn.XLOOKUP(I109,'Renewal Rates'!$A$22:$A$27,'Renewal Rates'!$B$22:$B$27,'Renewal Rates'!$B$27,0),'Renewal Rates'!$F$7),IF(A109="Renewal",100%,0%))</f>
        <v>0</v>
      </c>
      <c r="U109" s="68">
        <f t="shared" si="1"/>
        <v>0</v>
      </c>
      <c r="V109" s="68"/>
    </row>
    <row r="110" spans="1:22" ht="14.4" x14ac:dyDescent="0.3">
      <c r="A110" s="1" t="s">
        <v>25</v>
      </c>
      <c r="B110" s="45">
        <v>10.005000000000001</v>
      </c>
      <c r="C110" s="62"/>
      <c r="D110" s="98">
        <v>89.350633000000002</v>
      </c>
      <c r="E110" s="98"/>
      <c r="F110" s="63"/>
      <c r="G110" s="64">
        <v>525</v>
      </c>
      <c r="H110" s="63"/>
      <c r="I110" s="45" t="s">
        <v>122</v>
      </c>
      <c r="J110" s="1">
        <v>377</v>
      </c>
      <c r="K110" s="65" t="s">
        <v>23</v>
      </c>
      <c r="L110" s="65" t="s">
        <v>24</v>
      </c>
      <c r="M110" s="66">
        <v>257423</v>
      </c>
      <c r="N110" s="66">
        <v>2881</v>
      </c>
      <c r="O110" s="66">
        <v>87524</v>
      </c>
      <c r="P110" s="66">
        <v>344947</v>
      </c>
      <c r="Q110" s="67">
        <v>0.4</v>
      </c>
      <c r="R110" s="66">
        <v>137979</v>
      </c>
      <c r="S110" s="55">
        <v>482925.96</v>
      </c>
      <c r="T110" s="106">
        <f>IF(A110="Upgrade",IF(OR(H110=4,H110=5),_xlfn.XLOOKUP(I110,'Renewal Rates'!$A$22:$A$27,'Renewal Rates'!$B$22:$B$27,'Renewal Rates'!$B$27,0),'Renewal Rates'!$F$7),IF(A110="Renewal",100%,0%))</f>
        <v>0</v>
      </c>
      <c r="U110" s="68">
        <f t="shared" si="1"/>
        <v>0</v>
      </c>
      <c r="V110" s="68"/>
    </row>
    <row r="111" spans="1:22" ht="14.4" x14ac:dyDescent="0.3">
      <c r="A111" s="1" t="s">
        <v>25</v>
      </c>
      <c r="B111" s="45">
        <v>10.000999999999999</v>
      </c>
      <c r="C111" s="62"/>
      <c r="D111" s="98">
        <v>76.625811999999996</v>
      </c>
      <c r="E111" s="98"/>
      <c r="F111" s="63"/>
      <c r="G111" s="64">
        <v>450</v>
      </c>
      <c r="H111" s="63"/>
      <c r="I111" s="45" t="s">
        <v>122</v>
      </c>
      <c r="J111" s="1">
        <v>377</v>
      </c>
      <c r="K111" s="65" t="s">
        <v>23</v>
      </c>
      <c r="L111" s="65" t="s">
        <v>24</v>
      </c>
      <c r="M111" s="66">
        <v>215531</v>
      </c>
      <c r="N111" s="66">
        <v>2813</v>
      </c>
      <c r="O111" s="66">
        <v>73281</v>
      </c>
      <c r="P111" s="66">
        <v>288812</v>
      </c>
      <c r="Q111" s="67">
        <v>0.4</v>
      </c>
      <c r="R111" s="66">
        <v>115525</v>
      </c>
      <c r="S111" s="55">
        <v>404337</v>
      </c>
      <c r="T111" s="106">
        <f>IF(A111="Upgrade",IF(OR(H111=4,H111=5),_xlfn.XLOOKUP(I111,'Renewal Rates'!$A$22:$A$27,'Renewal Rates'!$B$22:$B$27,'Renewal Rates'!$B$27,0),'Renewal Rates'!$F$7),IF(A111="Renewal",100%,0%))</f>
        <v>0</v>
      </c>
      <c r="U111" s="68">
        <f t="shared" si="1"/>
        <v>0</v>
      </c>
      <c r="V111" s="68"/>
    </row>
    <row r="112" spans="1:22" ht="14.4" x14ac:dyDescent="0.3">
      <c r="A112" s="1" t="s">
        <v>25</v>
      </c>
      <c r="B112" s="45">
        <v>10.025</v>
      </c>
      <c r="C112" s="62"/>
      <c r="D112" s="98">
        <v>99.408161000000007</v>
      </c>
      <c r="E112" s="98"/>
      <c r="F112" s="63"/>
      <c r="G112" s="64">
        <v>600</v>
      </c>
      <c r="H112" s="63"/>
      <c r="I112" s="45" t="s">
        <v>122</v>
      </c>
      <c r="J112" s="1">
        <v>377</v>
      </c>
      <c r="K112" s="65" t="s">
        <v>23</v>
      </c>
      <c r="L112" s="65" t="s">
        <v>24</v>
      </c>
      <c r="M112" s="66">
        <v>271646</v>
      </c>
      <c r="N112" s="66">
        <v>2733</v>
      </c>
      <c r="O112" s="66">
        <v>108859</v>
      </c>
      <c r="P112" s="66">
        <v>429034</v>
      </c>
      <c r="Q112" s="67">
        <v>0.4</v>
      </c>
      <c r="R112" s="66">
        <v>171614</v>
      </c>
      <c r="S112" s="55">
        <v>600647.5882456</v>
      </c>
      <c r="T112" s="106">
        <f>IF(A112="Upgrade",IF(OR(H112=4,H112=5),_xlfn.XLOOKUP(I112,'Renewal Rates'!$A$22:$A$27,'Renewal Rates'!$B$22:$B$27,'Renewal Rates'!$B$27,0),'Renewal Rates'!$F$7),IF(A112="Renewal",100%,0%))</f>
        <v>0</v>
      </c>
      <c r="U112" s="68">
        <f t="shared" si="1"/>
        <v>0</v>
      </c>
      <c r="V112" s="68"/>
    </row>
    <row r="113" spans="1:22" ht="14.4" x14ac:dyDescent="0.3">
      <c r="A113" s="1" t="s">
        <v>25</v>
      </c>
      <c r="B113" s="45">
        <v>10.007</v>
      </c>
      <c r="C113" s="62"/>
      <c r="D113" s="98">
        <v>115.023099</v>
      </c>
      <c r="E113" s="98"/>
      <c r="F113" s="63"/>
      <c r="G113" s="64">
        <v>450</v>
      </c>
      <c r="H113" s="63"/>
      <c r="I113" s="45" t="s">
        <v>122</v>
      </c>
      <c r="J113" s="1">
        <v>377</v>
      </c>
      <c r="K113" s="65" t="s">
        <v>23</v>
      </c>
      <c r="L113" s="65" t="s">
        <v>24</v>
      </c>
      <c r="M113" s="66">
        <v>317492</v>
      </c>
      <c r="N113" s="66">
        <v>2760</v>
      </c>
      <c r="O113" s="66">
        <v>107947</v>
      </c>
      <c r="P113" s="66">
        <v>425439</v>
      </c>
      <c r="Q113" s="67">
        <v>0.4</v>
      </c>
      <c r="R113" s="66">
        <v>170176</v>
      </c>
      <c r="S113" s="55">
        <v>595614.46</v>
      </c>
      <c r="T113" s="106">
        <f>IF(A113="Upgrade",IF(OR(H113=4,H113=5),_xlfn.XLOOKUP(I113,'Renewal Rates'!$A$22:$A$27,'Renewal Rates'!$B$22:$B$27,'Renewal Rates'!$B$27,0),'Renewal Rates'!$F$7),IF(A113="Renewal",100%,0%))</f>
        <v>0</v>
      </c>
      <c r="U113" s="68">
        <f t="shared" si="1"/>
        <v>0</v>
      </c>
      <c r="V113" s="68"/>
    </row>
    <row r="114" spans="1:22" ht="14.4" x14ac:dyDescent="0.3">
      <c r="A114" s="1" t="s">
        <v>25</v>
      </c>
      <c r="B114" s="45">
        <v>11.004</v>
      </c>
      <c r="C114" s="62"/>
      <c r="D114" s="98">
        <v>61.874167999999997</v>
      </c>
      <c r="E114" s="98"/>
      <c r="F114" s="63"/>
      <c r="G114" s="64">
        <v>450</v>
      </c>
      <c r="H114" s="63"/>
      <c r="I114" s="45" t="s">
        <v>122</v>
      </c>
      <c r="J114" s="1">
        <v>377</v>
      </c>
      <c r="K114" s="65" t="s">
        <v>23</v>
      </c>
      <c r="L114" s="65" t="s">
        <v>24</v>
      </c>
      <c r="M114" s="66">
        <v>201960</v>
      </c>
      <c r="N114" s="66">
        <v>3264</v>
      </c>
      <c r="O114" s="66">
        <v>68666</v>
      </c>
      <c r="P114" s="66">
        <v>270626</v>
      </c>
      <c r="Q114" s="67">
        <v>0.4</v>
      </c>
      <c r="R114" s="66">
        <v>108251</v>
      </c>
      <c r="S114" s="55">
        <v>378876.98</v>
      </c>
      <c r="T114" s="106">
        <f>IF(A114="Upgrade",IF(OR(H114=4,H114=5),_xlfn.XLOOKUP(I114,'Renewal Rates'!$A$22:$A$27,'Renewal Rates'!$B$22:$B$27,'Renewal Rates'!$B$27,0),'Renewal Rates'!$F$7),IF(A114="Renewal",100%,0%))</f>
        <v>0</v>
      </c>
      <c r="U114" s="68">
        <f t="shared" si="1"/>
        <v>0</v>
      </c>
      <c r="V114" s="68"/>
    </row>
    <row r="115" spans="1:22" ht="14.4" x14ac:dyDescent="0.3">
      <c r="A115" s="1" t="s">
        <v>25</v>
      </c>
      <c r="B115" s="45">
        <v>11.005000000000001</v>
      </c>
      <c r="C115" s="62"/>
      <c r="D115" s="98">
        <v>120.654883</v>
      </c>
      <c r="E115" s="98"/>
      <c r="F115" s="63"/>
      <c r="G115" s="64">
        <v>525</v>
      </c>
      <c r="H115" s="63"/>
      <c r="I115" s="45" t="s">
        <v>122</v>
      </c>
      <c r="J115" s="1">
        <v>385</v>
      </c>
      <c r="K115" s="65" t="s">
        <v>23</v>
      </c>
      <c r="L115" s="65" t="s">
        <v>24</v>
      </c>
      <c r="M115" s="66">
        <v>378316</v>
      </c>
      <c r="N115" s="66">
        <v>3136</v>
      </c>
      <c r="O115" s="66">
        <v>128627</v>
      </c>
      <c r="P115" s="66">
        <v>506943</v>
      </c>
      <c r="Q115" s="67">
        <v>0.4</v>
      </c>
      <c r="R115" s="66">
        <v>202777</v>
      </c>
      <c r="S115" s="55">
        <v>709720.03</v>
      </c>
      <c r="T115" s="106">
        <f>IF(A115="Upgrade",IF(OR(H115=4,H115=5),_xlfn.XLOOKUP(I115,'Renewal Rates'!$A$22:$A$27,'Renewal Rates'!$B$22:$B$27,'Renewal Rates'!$B$27,0),'Renewal Rates'!$F$7),IF(A115="Renewal",100%,0%))</f>
        <v>0</v>
      </c>
      <c r="U115" s="68">
        <f t="shared" si="1"/>
        <v>0</v>
      </c>
      <c r="V115" s="68"/>
    </row>
    <row r="116" spans="1:22" ht="14.4" x14ac:dyDescent="0.3">
      <c r="A116" s="1" t="s">
        <v>25</v>
      </c>
      <c r="B116" s="45">
        <v>11.006</v>
      </c>
      <c r="C116" s="62"/>
      <c r="D116" s="98">
        <v>66.525874999999999</v>
      </c>
      <c r="E116" s="98"/>
      <c r="F116" s="63"/>
      <c r="G116" s="64">
        <v>375</v>
      </c>
      <c r="H116" s="63"/>
      <c r="I116" s="45" t="s">
        <v>122</v>
      </c>
      <c r="J116" s="1">
        <v>385</v>
      </c>
      <c r="K116" s="65" t="s">
        <v>23</v>
      </c>
      <c r="L116" s="65" t="s">
        <v>24</v>
      </c>
      <c r="M116" s="66">
        <v>156751</v>
      </c>
      <c r="N116" s="66">
        <v>2356</v>
      </c>
      <c r="O116" s="66">
        <v>53295</v>
      </c>
      <c r="P116" s="66">
        <v>210047</v>
      </c>
      <c r="Q116" s="67">
        <v>0.4</v>
      </c>
      <c r="R116" s="66">
        <v>84019</v>
      </c>
      <c r="S116" s="55">
        <v>294065.34000000003</v>
      </c>
      <c r="T116" s="106">
        <f>IF(A116="Upgrade",IF(OR(H116=4,H116=5),_xlfn.XLOOKUP(I116,'Renewal Rates'!$A$22:$A$27,'Renewal Rates'!$B$22:$B$27,'Renewal Rates'!$B$27,0),'Renewal Rates'!$F$7),IF(A116="Renewal",100%,0%))</f>
        <v>0</v>
      </c>
      <c r="U116" s="68">
        <f t="shared" si="1"/>
        <v>0</v>
      </c>
      <c r="V116" s="68"/>
    </row>
    <row r="117" spans="1:22" ht="14.4" x14ac:dyDescent="0.3">
      <c r="A117" s="1" t="s">
        <v>25</v>
      </c>
      <c r="B117" s="45">
        <v>11.007</v>
      </c>
      <c r="C117" s="62"/>
      <c r="D117" s="98">
        <v>79.933408</v>
      </c>
      <c r="E117" s="98"/>
      <c r="F117" s="63"/>
      <c r="G117" s="64">
        <v>525</v>
      </c>
      <c r="H117" s="63"/>
      <c r="I117" s="45" t="s">
        <v>122</v>
      </c>
      <c r="J117" s="1">
        <v>377</v>
      </c>
      <c r="K117" s="65" t="s">
        <v>23</v>
      </c>
      <c r="L117" s="65" t="s">
        <v>24</v>
      </c>
      <c r="M117" s="66">
        <v>249202</v>
      </c>
      <c r="N117" s="66">
        <v>3118</v>
      </c>
      <c r="O117" s="66">
        <v>84729</v>
      </c>
      <c r="P117" s="66">
        <v>333931</v>
      </c>
      <c r="Q117" s="67">
        <v>0.4</v>
      </c>
      <c r="R117" s="66">
        <v>133572</v>
      </c>
      <c r="S117" s="55">
        <v>467503.57</v>
      </c>
      <c r="T117" s="106">
        <f>IF(A117="Upgrade",IF(OR(H117=4,H117=5),_xlfn.XLOOKUP(I117,'Renewal Rates'!$A$22:$A$27,'Renewal Rates'!$B$22:$B$27,'Renewal Rates'!$B$27,0),'Renewal Rates'!$F$7),IF(A117="Renewal",100%,0%))</f>
        <v>0</v>
      </c>
      <c r="U117" s="68">
        <f t="shared" si="1"/>
        <v>0</v>
      </c>
      <c r="V117" s="68"/>
    </row>
    <row r="118" spans="1:22" ht="14.4" x14ac:dyDescent="0.3">
      <c r="A118" s="1" t="s">
        <v>25</v>
      </c>
      <c r="B118" s="45">
        <v>11.007999999999999</v>
      </c>
      <c r="C118" s="62"/>
      <c r="D118" s="98">
        <v>77.084772999999998</v>
      </c>
      <c r="E118" s="98"/>
      <c r="F118" s="63"/>
      <c r="G118" s="64">
        <v>375</v>
      </c>
      <c r="H118" s="63"/>
      <c r="I118" s="45" t="s">
        <v>122</v>
      </c>
      <c r="J118" s="1">
        <v>377</v>
      </c>
      <c r="K118" s="65" t="s">
        <v>23</v>
      </c>
      <c r="L118" s="65" t="s">
        <v>24</v>
      </c>
      <c r="M118" s="66">
        <v>175855</v>
      </c>
      <c r="N118" s="66">
        <v>2281</v>
      </c>
      <c r="O118" s="66">
        <v>59791</v>
      </c>
      <c r="P118" s="66">
        <v>235646</v>
      </c>
      <c r="Q118" s="67">
        <v>0.4</v>
      </c>
      <c r="R118" s="66">
        <v>94259</v>
      </c>
      <c r="S118" s="55">
        <v>329904.84999999998</v>
      </c>
      <c r="T118" s="106">
        <f>IF(A118="Upgrade",IF(OR(H118=4,H118=5),_xlfn.XLOOKUP(I118,'Renewal Rates'!$A$22:$A$27,'Renewal Rates'!$B$22:$B$27,'Renewal Rates'!$B$27,0),'Renewal Rates'!$F$7),IF(A118="Renewal",100%,0%))</f>
        <v>0</v>
      </c>
      <c r="U118" s="68">
        <f t="shared" si="1"/>
        <v>0</v>
      </c>
      <c r="V118" s="68"/>
    </row>
    <row r="119" spans="1:22" ht="14.4" x14ac:dyDescent="0.3">
      <c r="A119" s="1" t="s">
        <v>25</v>
      </c>
      <c r="B119" s="45">
        <v>11.003</v>
      </c>
      <c r="C119" s="62"/>
      <c r="D119" s="98">
        <v>92.767493999999999</v>
      </c>
      <c r="E119" s="98"/>
      <c r="F119" s="63"/>
      <c r="G119" s="64">
        <v>525</v>
      </c>
      <c r="H119" s="63"/>
      <c r="I119" s="45" t="s">
        <v>122</v>
      </c>
      <c r="J119" s="1">
        <v>377</v>
      </c>
      <c r="K119" s="65" t="s">
        <v>23</v>
      </c>
      <c r="L119" s="65" t="s">
        <v>24</v>
      </c>
      <c r="M119" s="66">
        <v>279844</v>
      </c>
      <c r="N119" s="66">
        <v>3017</v>
      </c>
      <c r="O119" s="66">
        <v>95147</v>
      </c>
      <c r="P119" s="66">
        <v>374990</v>
      </c>
      <c r="Q119" s="67">
        <v>0.4</v>
      </c>
      <c r="R119" s="66">
        <v>149996</v>
      </c>
      <c r="S119" s="55">
        <v>524986.62</v>
      </c>
      <c r="T119" s="106">
        <f>IF(A119="Upgrade",IF(OR(H119=4,H119=5),_xlfn.XLOOKUP(I119,'Renewal Rates'!$A$22:$A$27,'Renewal Rates'!$B$22:$B$27,'Renewal Rates'!$B$27,0),'Renewal Rates'!$F$7),IF(A119="Renewal",100%,0%))</f>
        <v>0</v>
      </c>
      <c r="U119" s="68">
        <f t="shared" si="1"/>
        <v>0</v>
      </c>
      <c r="V119" s="68"/>
    </row>
    <row r="120" spans="1:22" ht="14.4" x14ac:dyDescent="0.3">
      <c r="A120" s="1" t="s">
        <v>25</v>
      </c>
      <c r="B120" s="45">
        <v>12.000999999999999</v>
      </c>
      <c r="C120" s="62"/>
      <c r="D120" s="98">
        <v>111.93616400000001</v>
      </c>
      <c r="E120" s="98"/>
      <c r="F120" s="63"/>
      <c r="G120" s="64">
        <v>600</v>
      </c>
      <c r="H120" s="63"/>
      <c r="I120" s="45" t="s">
        <v>122</v>
      </c>
      <c r="J120" s="1">
        <v>385</v>
      </c>
      <c r="K120" s="65" t="s">
        <v>23</v>
      </c>
      <c r="L120" s="65" t="s">
        <v>24</v>
      </c>
      <c r="M120" s="66">
        <v>387355</v>
      </c>
      <c r="N120" s="66">
        <v>3461</v>
      </c>
      <c r="O120" s="66">
        <v>131701</v>
      </c>
      <c r="P120" s="66">
        <v>519055</v>
      </c>
      <c r="Q120" s="67">
        <v>0.4</v>
      </c>
      <c r="R120" s="66">
        <v>207622</v>
      </c>
      <c r="S120" s="55">
        <v>726677.13</v>
      </c>
      <c r="T120" s="106">
        <f>IF(A120="Upgrade",IF(OR(H120=4,H120=5),_xlfn.XLOOKUP(I120,'Renewal Rates'!$A$22:$A$27,'Renewal Rates'!$B$22:$B$27,'Renewal Rates'!$B$27,0),'Renewal Rates'!$F$7),IF(A120="Renewal",100%,0%))</f>
        <v>0</v>
      </c>
      <c r="U120" s="68">
        <f t="shared" si="1"/>
        <v>0</v>
      </c>
      <c r="V120" s="68"/>
    </row>
    <row r="121" spans="1:22" ht="14.4" x14ac:dyDescent="0.3">
      <c r="A121" s="1" t="s">
        <v>25</v>
      </c>
      <c r="B121" s="45">
        <v>13.007999999999999</v>
      </c>
      <c r="C121" s="62"/>
      <c r="D121" s="98">
        <v>119.50987499999999</v>
      </c>
      <c r="E121" s="98"/>
      <c r="F121" s="63"/>
      <c r="G121" s="64">
        <v>375</v>
      </c>
      <c r="H121" s="63"/>
      <c r="I121" s="45" t="s">
        <v>122</v>
      </c>
      <c r="J121" s="1">
        <v>377</v>
      </c>
      <c r="K121" s="65" t="s">
        <v>23</v>
      </c>
      <c r="L121" s="65" t="s">
        <v>24</v>
      </c>
      <c r="M121" s="66">
        <v>218144</v>
      </c>
      <c r="N121" s="66">
        <v>1825</v>
      </c>
      <c r="O121" s="66">
        <v>85452</v>
      </c>
      <c r="P121" s="66">
        <v>336780</v>
      </c>
      <c r="Q121" s="67">
        <v>0.4</v>
      </c>
      <c r="R121" s="66">
        <v>134712</v>
      </c>
      <c r="S121" s="55">
        <v>471492.60480560001</v>
      </c>
      <c r="T121" s="106">
        <f>IF(A121="Upgrade",IF(OR(H121=4,H121=5),_xlfn.XLOOKUP(I121,'Renewal Rates'!$A$22:$A$27,'Renewal Rates'!$B$22:$B$27,'Renewal Rates'!$B$27,0),'Renewal Rates'!$F$7),IF(A121="Renewal",100%,0%))</f>
        <v>0</v>
      </c>
      <c r="U121" s="68">
        <f t="shared" si="1"/>
        <v>0</v>
      </c>
      <c r="V121" s="68"/>
    </row>
    <row r="122" spans="1:22" ht="14.4" x14ac:dyDescent="0.3">
      <c r="A122" s="1" t="s">
        <v>25</v>
      </c>
      <c r="B122" s="45">
        <v>13.007</v>
      </c>
      <c r="C122" s="62"/>
      <c r="D122" s="98">
        <v>57.382531</v>
      </c>
      <c r="E122" s="98"/>
      <c r="F122" s="63"/>
      <c r="G122" s="64">
        <v>375</v>
      </c>
      <c r="H122" s="63"/>
      <c r="I122" s="45" t="s">
        <v>122</v>
      </c>
      <c r="J122" s="1">
        <v>375</v>
      </c>
      <c r="K122" s="65" t="s">
        <v>23</v>
      </c>
      <c r="L122" s="65" t="s">
        <v>24</v>
      </c>
      <c r="M122" s="66">
        <v>135502</v>
      </c>
      <c r="N122" s="66">
        <v>2361</v>
      </c>
      <c r="O122" s="66">
        <v>46071</v>
      </c>
      <c r="P122" s="66">
        <v>181572</v>
      </c>
      <c r="Q122" s="67">
        <v>0.4</v>
      </c>
      <c r="R122" s="66">
        <v>72629</v>
      </c>
      <c r="S122" s="55">
        <v>254201.04</v>
      </c>
      <c r="T122" s="106">
        <f>IF(A122="Upgrade",IF(OR(H122=4,H122=5),_xlfn.XLOOKUP(I122,'Renewal Rates'!$A$22:$A$27,'Renewal Rates'!$B$22:$B$27,'Renewal Rates'!$B$27,0),'Renewal Rates'!$F$7),IF(A122="Renewal",100%,0%))</f>
        <v>0</v>
      </c>
      <c r="U122" s="68">
        <f t="shared" si="1"/>
        <v>0</v>
      </c>
      <c r="V122" s="68"/>
    </row>
    <row r="123" spans="1:22" ht="14.4" x14ac:dyDescent="0.3">
      <c r="A123" s="1" t="s">
        <v>25</v>
      </c>
      <c r="B123" s="45">
        <v>13.005000000000001</v>
      </c>
      <c r="C123" s="62"/>
      <c r="D123" s="98">
        <v>50.706018</v>
      </c>
      <c r="E123" s="98"/>
      <c r="F123" s="63"/>
      <c r="G123" s="64">
        <v>450</v>
      </c>
      <c r="H123" s="63"/>
      <c r="I123" s="45" t="s">
        <v>122</v>
      </c>
      <c r="J123" s="1">
        <v>377</v>
      </c>
      <c r="K123" s="65" t="s">
        <v>23</v>
      </c>
      <c r="L123" s="65" t="s">
        <v>24</v>
      </c>
      <c r="M123" s="66">
        <v>528865</v>
      </c>
      <c r="N123" s="66">
        <v>2992</v>
      </c>
      <c r="O123" s="66">
        <v>220101</v>
      </c>
      <c r="P123" s="66">
        <v>867457</v>
      </c>
      <c r="Q123" s="67">
        <v>0.4</v>
      </c>
      <c r="R123" s="66">
        <v>346983</v>
      </c>
      <c r="S123" s="55">
        <v>1214440</v>
      </c>
      <c r="T123" s="106">
        <f>IF(A123="Upgrade",IF(OR(H123=4,H123=5),_xlfn.XLOOKUP(I123,'Renewal Rates'!$A$22:$A$27,'Renewal Rates'!$B$22:$B$27,'Renewal Rates'!$B$27,0),'Renewal Rates'!$F$7),IF(A123="Renewal",100%,0%))</f>
        <v>0</v>
      </c>
      <c r="U123" s="68">
        <f t="shared" si="1"/>
        <v>0</v>
      </c>
      <c r="V123" s="68"/>
    </row>
    <row r="124" spans="1:22" ht="14.4" x14ac:dyDescent="0.3">
      <c r="A124" s="1" t="s">
        <v>25</v>
      </c>
      <c r="B124" s="45">
        <v>13.003</v>
      </c>
      <c r="C124" s="62"/>
      <c r="D124" s="98">
        <v>176.741353</v>
      </c>
      <c r="E124" s="98"/>
      <c r="F124" s="63"/>
      <c r="G124" s="64">
        <v>675</v>
      </c>
      <c r="H124" s="63"/>
      <c r="I124" s="45" t="s">
        <v>122</v>
      </c>
      <c r="J124" s="1">
        <v>377</v>
      </c>
      <c r="K124" s="65" t="s">
        <v>23</v>
      </c>
      <c r="L124" s="65" t="s">
        <v>24</v>
      </c>
      <c r="M124" s="66">
        <v>243076</v>
      </c>
      <c r="N124" s="66">
        <v>3105</v>
      </c>
      <c r="O124" s="66">
        <v>82646</v>
      </c>
      <c r="P124" s="66">
        <v>325722</v>
      </c>
      <c r="Q124" s="67">
        <v>0.4</v>
      </c>
      <c r="R124" s="66">
        <v>130289</v>
      </c>
      <c r="S124" s="55">
        <v>456011</v>
      </c>
      <c r="T124" s="106">
        <f>IF(A124="Upgrade",IF(OR(H124=4,H124=5),_xlfn.XLOOKUP(I124,'Renewal Rates'!$A$22:$A$27,'Renewal Rates'!$B$22:$B$27,'Renewal Rates'!$B$27,0),'Renewal Rates'!$F$7),IF(A124="Renewal",100%,0%))</f>
        <v>0</v>
      </c>
      <c r="U124" s="68">
        <f t="shared" si="1"/>
        <v>0</v>
      </c>
      <c r="V124" s="68"/>
    </row>
    <row r="125" spans="1:22" ht="14.4" x14ac:dyDescent="0.3">
      <c r="A125" s="1" t="s">
        <v>25</v>
      </c>
      <c r="B125" s="45">
        <v>13.004</v>
      </c>
      <c r="C125" s="62"/>
      <c r="D125" s="98">
        <v>78.287109000000001</v>
      </c>
      <c r="E125" s="98"/>
      <c r="F125" s="63"/>
      <c r="G125" s="64">
        <v>600</v>
      </c>
      <c r="H125" s="63"/>
      <c r="I125" s="45" t="s">
        <v>122</v>
      </c>
      <c r="J125" s="1">
        <v>377</v>
      </c>
      <c r="K125" s="65" t="s">
        <v>23</v>
      </c>
      <c r="L125" s="65" t="s">
        <v>24</v>
      </c>
      <c r="M125" s="66">
        <v>158183</v>
      </c>
      <c r="N125" s="66">
        <v>3120</v>
      </c>
      <c r="O125" s="66">
        <v>53782</v>
      </c>
      <c r="P125" s="66">
        <v>211965</v>
      </c>
      <c r="Q125" s="67">
        <v>0.4</v>
      </c>
      <c r="R125" s="66">
        <v>84786</v>
      </c>
      <c r="S125" s="55">
        <v>296751</v>
      </c>
      <c r="T125" s="106">
        <f>IF(A125="Upgrade",IF(OR(H125=4,H125=5),_xlfn.XLOOKUP(I125,'Renewal Rates'!$A$22:$A$27,'Renewal Rates'!$B$22:$B$27,'Renewal Rates'!$B$27,0),'Renewal Rates'!$F$7),IF(A125="Renewal",100%,0%))</f>
        <v>0</v>
      </c>
      <c r="U125" s="68">
        <f t="shared" si="1"/>
        <v>0</v>
      </c>
      <c r="V125" s="68"/>
    </row>
    <row r="126" spans="1:22" ht="14.4" x14ac:dyDescent="0.3">
      <c r="A126" s="1" t="s">
        <v>25</v>
      </c>
      <c r="B126" s="45">
        <v>13.000999999999999</v>
      </c>
      <c r="C126" s="62"/>
      <c r="D126" s="98">
        <v>80.374834000000007</v>
      </c>
      <c r="E126" s="98"/>
      <c r="F126" s="63"/>
      <c r="G126" s="64">
        <v>600</v>
      </c>
      <c r="H126" s="63"/>
      <c r="I126" s="45" t="s">
        <v>122</v>
      </c>
      <c r="J126" s="1">
        <v>368</v>
      </c>
      <c r="K126" s="65" t="s">
        <v>23</v>
      </c>
      <c r="L126" s="65" t="s">
        <v>24</v>
      </c>
      <c r="M126" s="66">
        <v>277995</v>
      </c>
      <c r="N126" s="66">
        <v>3459</v>
      </c>
      <c r="O126" s="66">
        <v>94518</v>
      </c>
      <c r="P126" s="66">
        <v>372513</v>
      </c>
      <c r="Q126" s="67">
        <v>0.4</v>
      </c>
      <c r="R126" s="66">
        <v>149005</v>
      </c>
      <c r="S126" s="55">
        <v>521518.64</v>
      </c>
      <c r="T126" s="106">
        <f>IF(A126="Upgrade",IF(OR(H126=4,H126=5),_xlfn.XLOOKUP(I126,'Renewal Rates'!$A$22:$A$27,'Renewal Rates'!$B$22:$B$27,'Renewal Rates'!$B$27,0),'Renewal Rates'!$F$7),IF(A126="Renewal",100%,0%))</f>
        <v>0</v>
      </c>
      <c r="U126" s="68">
        <f t="shared" si="1"/>
        <v>0</v>
      </c>
      <c r="V126" s="68"/>
    </row>
    <row r="127" spans="1:22" ht="14.4" x14ac:dyDescent="0.3">
      <c r="A127" s="1" t="s">
        <v>25</v>
      </c>
      <c r="B127" s="45">
        <v>13.002000000000001</v>
      </c>
      <c r="C127" s="62"/>
      <c r="D127" s="98">
        <v>22.837128</v>
      </c>
      <c r="E127" s="98"/>
      <c r="F127" s="63"/>
      <c r="G127" s="64">
        <v>450</v>
      </c>
      <c r="H127" s="63"/>
      <c r="I127" s="45" t="s">
        <v>122</v>
      </c>
      <c r="J127" s="1">
        <v>368</v>
      </c>
      <c r="K127" s="65" t="s">
        <v>23</v>
      </c>
      <c r="L127" s="65" t="s">
        <v>24</v>
      </c>
      <c r="M127" s="66">
        <v>96486</v>
      </c>
      <c r="N127" s="66">
        <v>4225</v>
      </c>
      <c r="O127" s="66">
        <v>32805</v>
      </c>
      <c r="P127" s="66">
        <v>129291</v>
      </c>
      <c r="Q127" s="67">
        <v>0.4</v>
      </c>
      <c r="R127" s="66">
        <v>51717</v>
      </c>
      <c r="S127" s="55">
        <v>181008.07</v>
      </c>
      <c r="T127" s="106">
        <f>IF(A127="Upgrade",IF(OR(H127=4,H127=5),_xlfn.XLOOKUP(I127,'Renewal Rates'!$A$22:$A$27,'Renewal Rates'!$B$22:$B$27,'Renewal Rates'!$B$27,0),'Renewal Rates'!$F$7),IF(A127="Renewal",100%,0%))</f>
        <v>0</v>
      </c>
      <c r="U127" s="68">
        <f t="shared" si="1"/>
        <v>0</v>
      </c>
      <c r="V127" s="68"/>
    </row>
    <row r="128" spans="1:22" ht="14.4" x14ac:dyDescent="0.3">
      <c r="A128" s="1" t="s">
        <v>25</v>
      </c>
      <c r="B128" s="45">
        <v>15.000999999999999</v>
      </c>
      <c r="C128" s="62"/>
      <c r="D128" s="98">
        <v>88.990295000000003</v>
      </c>
      <c r="E128" s="98"/>
      <c r="F128" s="63"/>
      <c r="G128" s="64">
        <v>450</v>
      </c>
      <c r="H128" s="63"/>
      <c r="I128" s="45" t="s">
        <v>122</v>
      </c>
      <c r="J128" s="1">
        <v>377</v>
      </c>
      <c r="K128" s="65" t="s">
        <v>23</v>
      </c>
      <c r="L128" s="65" t="s">
        <v>24</v>
      </c>
      <c r="M128" s="66">
        <v>185790</v>
      </c>
      <c r="N128" s="66">
        <v>2088</v>
      </c>
      <c r="O128" s="66">
        <v>82886</v>
      </c>
      <c r="P128" s="66">
        <v>326667</v>
      </c>
      <c r="Q128" s="67">
        <v>0.4</v>
      </c>
      <c r="R128" s="66">
        <v>130667</v>
      </c>
      <c r="S128" s="55">
        <v>457334.10150399996</v>
      </c>
      <c r="T128" s="106">
        <f>IF(A128="Upgrade",IF(OR(H128=4,H128=5),_xlfn.XLOOKUP(I128,'Renewal Rates'!$A$22:$A$27,'Renewal Rates'!$B$22:$B$27,'Renewal Rates'!$B$27,0),'Renewal Rates'!$F$7),IF(A128="Renewal",100%,0%))</f>
        <v>0</v>
      </c>
      <c r="U128" s="68">
        <f t="shared" si="1"/>
        <v>0</v>
      </c>
      <c r="V128" s="68"/>
    </row>
    <row r="129" spans="1:22" ht="14.4" x14ac:dyDescent="0.3">
      <c r="A129" s="1" t="s">
        <v>25</v>
      </c>
      <c r="B129" s="45">
        <v>10.002000000000001</v>
      </c>
      <c r="C129" s="62"/>
      <c r="D129" s="98">
        <v>83.220633000000007</v>
      </c>
      <c r="E129" s="98"/>
      <c r="F129" s="63"/>
      <c r="G129" s="64">
        <v>450</v>
      </c>
      <c r="H129" s="63"/>
      <c r="I129" s="45" t="s">
        <v>122</v>
      </c>
      <c r="J129" s="1">
        <v>377</v>
      </c>
      <c r="K129" s="65" t="s">
        <v>23</v>
      </c>
      <c r="L129" s="65" t="s">
        <v>24</v>
      </c>
      <c r="M129" s="66">
        <v>195830</v>
      </c>
      <c r="N129" s="66">
        <v>2353</v>
      </c>
      <c r="O129" s="66">
        <v>80448</v>
      </c>
      <c r="P129" s="66">
        <v>317060</v>
      </c>
      <c r="Q129" s="67">
        <v>0.4</v>
      </c>
      <c r="R129" s="66">
        <v>126824</v>
      </c>
      <c r="S129" s="55">
        <v>443883.60941959999</v>
      </c>
      <c r="T129" s="106">
        <f>IF(A129="Upgrade",IF(OR(H129=4,H129=5),_xlfn.XLOOKUP(I129,'Renewal Rates'!$A$22:$A$27,'Renewal Rates'!$B$22:$B$27,'Renewal Rates'!$B$27,0),'Renewal Rates'!$F$7),IF(A129="Renewal",100%,0%))</f>
        <v>0</v>
      </c>
      <c r="U129" s="68">
        <f t="shared" si="1"/>
        <v>0</v>
      </c>
      <c r="V129" s="68"/>
    </row>
    <row r="130" spans="1:22" ht="14.4" x14ac:dyDescent="0.3">
      <c r="A130" s="1" t="s">
        <v>25</v>
      </c>
      <c r="B130" s="45">
        <v>10.003</v>
      </c>
      <c r="C130" s="62"/>
      <c r="D130" s="98">
        <v>103.103718</v>
      </c>
      <c r="E130" s="98"/>
      <c r="F130" s="63"/>
      <c r="G130" s="64">
        <v>600</v>
      </c>
      <c r="H130" s="63"/>
      <c r="I130" s="45" t="s">
        <v>122</v>
      </c>
      <c r="J130" s="1">
        <v>377</v>
      </c>
      <c r="K130" s="65" t="s">
        <v>23</v>
      </c>
      <c r="L130" s="65" t="s">
        <v>24</v>
      </c>
      <c r="M130" s="66">
        <v>293655</v>
      </c>
      <c r="N130" s="66">
        <v>2848</v>
      </c>
      <c r="O130" s="66">
        <v>116417</v>
      </c>
      <c r="P130" s="66">
        <v>458819</v>
      </c>
      <c r="Q130" s="67">
        <v>0.4</v>
      </c>
      <c r="R130" s="66">
        <v>183528</v>
      </c>
      <c r="S130" s="55">
        <v>642346.83730280004</v>
      </c>
      <c r="T130" s="106">
        <f>IF(A130="Upgrade",IF(OR(H130=4,H130=5),_xlfn.XLOOKUP(I130,'Renewal Rates'!$A$22:$A$27,'Renewal Rates'!$B$22:$B$27,'Renewal Rates'!$B$27,0),'Renewal Rates'!$F$7),IF(A130="Renewal",100%,0%))</f>
        <v>0</v>
      </c>
      <c r="U130" s="68">
        <f t="shared" si="1"/>
        <v>0</v>
      </c>
      <c r="V130" s="68"/>
    </row>
    <row r="131" spans="1:22" ht="14.4" x14ac:dyDescent="0.3">
      <c r="A131" s="1" t="s">
        <v>25</v>
      </c>
      <c r="B131" s="45">
        <v>10.004</v>
      </c>
      <c r="C131" s="62"/>
      <c r="D131" s="98">
        <v>243.868087</v>
      </c>
      <c r="E131" s="98"/>
      <c r="F131" s="63"/>
      <c r="G131" s="64">
        <v>675</v>
      </c>
      <c r="H131" s="63"/>
      <c r="I131" s="45" t="s">
        <v>122</v>
      </c>
      <c r="J131" s="1">
        <v>377</v>
      </c>
      <c r="K131" s="65" t="s">
        <v>23</v>
      </c>
      <c r="L131" s="65" t="s">
        <v>24</v>
      </c>
      <c r="M131" s="66">
        <v>723686</v>
      </c>
      <c r="N131" s="66">
        <v>2968</v>
      </c>
      <c r="O131" s="66">
        <v>302156</v>
      </c>
      <c r="P131" s="66">
        <v>1190849</v>
      </c>
      <c r="Q131" s="67">
        <v>0.4</v>
      </c>
      <c r="R131" s="66">
        <v>476340</v>
      </c>
      <c r="S131" s="55">
        <v>1667188.2796127999</v>
      </c>
      <c r="T131" s="106">
        <f>IF(A131="Upgrade",IF(OR(H131=4,H131=5),_xlfn.XLOOKUP(I131,'Renewal Rates'!$A$22:$A$27,'Renewal Rates'!$B$22:$B$27,'Renewal Rates'!$B$27,0),'Renewal Rates'!$F$7),IF(A131="Renewal",100%,0%))</f>
        <v>0</v>
      </c>
      <c r="U131" s="68">
        <f t="shared" si="1"/>
        <v>0</v>
      </c>
      <c r="V131" s="68"/>
    </row>
    <row r="132" spans="1:22" ht="14.4" x14ac:dyDescent="0.3">
      <c r="A132" s="1" t="s">
        <v>25</v>
      </c>
      <c r="B132" s="45">
        <v>15.006</v>
      </c>
      <c r="C132" s="62"/>
      <c r="D132" s="98">
        <v>25.011223000000001</v>
      </c>
      <c r="E132" s="98"/>
      <c r="F132" s="63"/>
      <c r="G132" s="64">
        <v>375</v>
      </c>
      <c r="H132" s="63"/>
      <c r="I132" s="45" t="s">
        <v>122</v>
      </c>
      <c r="J132" s="1">
        <v>377</v>
      </c>
      <c r="K132" s="65" t="s">
        <v>23</v>
      </c>
      <c r="L132" s="65" t="s">
        <v>24</v>
      </c>
      <c r="M132" s="66">
        <v>81782</v>
      </c>
      <c r="N132" s="66">
        <v>3270</v>
      </c>
      <c r="O132" s="66">
        <v>27806</v>
      </c>
      <c r="P132" s="66">
        <v>109588</v>
      </c>
      <c r="Q132" s="67">
        <v>0.4</v>
      </c>
      <c r="R132" s="66">
        <v>43835</v>
      </c>
      <c r="S132" s="55">
        <v>153422.95000000001</v>
      </c>
      <c r="T132" s="106">
        <f>IF(A132="Upgrade",IF(OR(H132=4,H132=5),_xlfn.XLOOKUP(I132,'Renewal Rates'!$A$22:$A$27,'Renewal Rates'!$B$22:$B$27,'Renewal Rates'!$B$27,0),'Renewal Rates'!$F$7),IF(A132="Renewal",100%,0%))</f>
        <v>0</v>
      </c>
      <c r="U132" s="68">
        <f t="shared" ref="U132:U195" si="2">S132*T132</f>
        <v>0</v>
      </c>
      <c r="V132" s="68"/>
    </row>
    <row r="133" spans="1:22" ht="14.4" x14ac:dyDescent="0.3">
      <c r="A133" s="1" t="s">
        <v>25</v>
      </c>
      <c r="B133" s="45">
        <v>15.007</v>
      </c>
      <c r="C133" s="62"/>
      <c r="D133" s="98">
        <v>36.699984999999998</v>
      </c>
      <c r="E133" s="98"/>
      <c r="F133" s="63"/>
      <c r="G133" s="64">
        <v>300</v>
      </c>
      <c r="H133" s="63"/>
      <c r="I133" s="45" t="s">
        <v>122</v>
      </c>
      <c r="J133" s="1">
        <v>377</v>
      </c>
      <c r="K133" s="65" t="s">
        <v>23</v>
      </c>
      <c r="L133" s="65" t="s">
        <v>24</v>
      </c>
      <c r="M133" s="66">
        <v>69651</v>
      </c>
      <c r="N133" s="66">
        <v>1898</v>
      </c>
      <c r="O133" s="66">
        <v>23681</v>
      </c>
      <c r="P133" s="66">
        <v>93332</v>
      </c>
      <c r="Q133" s="67">
        <v>0.4</v>
      </c>
      <c r="R133" s="66">
        <v>37333</v>
      </c>
      <c r="S133" s="55">
        <v>130664.85</v>
      </c>
      <c r="T133" s="106">
        <f>IF(A133="Upgrade",IF(OR(H133=4,H133=5),_xlfn.XLOOKUP(I133,'Renewal Rates'!$A$22:$A$27,'Renewal Rates'!$B$22:$B$27,'Renewal Rates'!$B$27,0),'Renewal Rates'!$F$7),IF(A133="Renewal",100%,0%))</f>
        <v>0</v>
      </c>
      <c r="U133" s="68">
        <f t="shared" si="2"/>
        <v>0</v>
      </c>
      <c r="V133" s="68"/>
    </row>
    <row r="134" spans="1:22" ht="14.4" x14ac:dyDescent="0.3">
      <c r="A134" s="1" t="s">
        <v>25</v>
      </c>
      <c r="B134" s="45">
        <v>15.005000000000001</v>
      </c>
      <c r="C134" s="62"/>
      <c r="D134" s="98">
        <v>94.134849000000003</v>
      </c>
      <c r="E134" s="98"/>
      <c r="F134" s="63"/>
      <c r="G134" s="64">
        <v>375</v>
      </c>
      <c r="H134" s="63"/>
      <c r="I134" s="45" t="s">
        <v>122</v>
      </c>
      <c r="J134" s="1">
        <v>377</v>
      </c>
      <c r="K134" s="65" t="s">
        <v>23</v>
      </c>
      <c r="L134" s="65" t="s">
        <v>24</v>
      </c>
      <c r="M134" s="66">
        <v>201481</v>
      </c>
      <c r="N134" s="66">
        <v>2140</v>
      </c>
      <c r="O134" s="66">
        <v>68504</v>
      </c>
      <c r="P134" s="66">
        <v>269985</v>
      </c>
      <c r="Q134" s="67">
        <v>0.4</v>
      </c>
      <c r="R134" s="66">
        <v>107994</v>
      </c>
      <c r="S134" s="55">
        <v>377979.04</v>
      </c>
      <c r="T134" s="106">
        <f>IF(A134="Upgrade",IF(OR(H134=4,H134=5),_xlfn.XLOOKUP(I134,'Renewal Rates'!$A$22:$A$27,'Renewal Rates'!$B$22:$B$27,'Renewal Rates'!$B$27,0),'Renewal Rates'!$F$7),IF(A134="Renewal",100%,0%))</f>
        <v>0</v>
      </c>
      <c r="U134" s="68">
        <f t="shared" si="2"/>
        <v>0</v>
      </c>
      <c r="V134" s="68"/>
    </row>
    <row r="135" spans="1:22" ht="14.4" x14ac:dyDescent="0.3">
      <c r="A135" s="1" t="s">
        <v>25</v>
      </c>
      <c r="B135" s="45">
        <v>16.004000000000001</v>
      </c>
      <c r="C135" s="62"/>
      <c r="D135" s="98">
        <v>99.624931000000004</v>
      </c>
      <c r="E135" s="98"/>
      <c r="F135" s="63"/>
      <c r="G135" s="64">
        <v>450</v>
      </c>
      <c r="H135" s="63"/>
      <c r="I135" s="45" t="s">
        <v>122</v>
      </c>
      <c r="J135" s="1">
        <v>376</v>
      </c>
      <c r="K135" s="65" t="s">
        <v>23</v>
      </c>
      <c r="L135" s="65" t="s">
        <v>24</v>
      </c>
      <c r="M135" s="66">
        <v>267741</v>
      </c>
      <c r="N135" s="66">
        <v>2687</v>
      </c>
      <c r="O135" s="66">
        <v>91032</v>
      </c>
      <c r="P135" s="66">
        <v>358773</v>
      </c>
      <c r="Q135" s="67">
        <v>0.4</v>
      </c>
      <c r="R135" s="66">
        <v>143509</v>
      </c>
      <c r="S135" s="55">
        <v>502282.22</v>
      </c>
      <c r="T135" s="106">
        <f>IF(A135="Upgrade",IF(OR(H135=4,H135=5),_xlfn.XLOOKUP(I135,'Renewal Rates'!$A$22:$A$27,'Renewal Rates'!$B$22:$B$27,'Renewal Rates'!$B$27,0),'Renewal Rates'!$F$7),IF(A135="Renewal",100%,0%))</f>
        <v>0</v>
      </c>
      <c r="U135" s="68">
        <f t="shared" si="2"/>
        <v>0</v>
      </c>
      <c r="V135" s="68"/>
    </row>
    <row r="136" spans="1:22" ht="14.4" x14ac:dyDescent="0.3">
      <c r="A136" s="1" t="s">
        <v>25</v>
      </c>
      <c r="B136" s="45">
        <v>16.006</v>
      </c>
      <c r="C136" s="62"/>
      <c r="D136" s="98">
        <v>31.767697999999999</v>
      </c>
      <c r="E136" s="98"/>
      <c r="F136" s="63"/>
      <c r="G136" s="64">
        <v>300</v>
      </c>
      <c r="H136" s="63"/>
      <c r="I136" s="45" t="s">
        <v>122</v>
      </c>
      <c r="J136" s="1">
        <v>376</v>
      </c>
      <c r="K136" s="65" t="s">
        <v>23</v>
      </c>
      <c r="L136" s="65" t="s">
        <v>24</v>
      </c>
      <c r="M136" s="66">
        <v>80961</v>
      </c>
      <c r="N136" s="66">
        <v>2549</v>
      </c>
      <c r="O136" s="66">
        <v>27527</v>
      </c>
      <c r="P136" s="66">
        <v>108488</v>
      </c>
      <c r="Q136" s="67">
        <v>0.4</v>
      </c>
      <c r="R136" s="66">
        <v>43395</v>
      </c>
      <c r="S136" s="55">
        <v>151883.31</v>
      </c>
      <c r="T136" s="106">
        <f>IF(A136="Upgrade",IF(OR(H136=4,H136=5),_xlfn.XLOOKUP(I136,'Renewal Rates'!$A$22:$A$27,'Renewal Rates'!$B$22:$B$27,'Renewal Rates'!$B$27,0),'Renewal Rates'!$F$7),IF(A136="Renewal",100%,0%))</f>
        <v>0</v>
      </c>
      <c r="U136" s="68">
        <f t="shared" si="2"/>
        <v>0</v>
      </c>
      <c r="V136" s="68"/>
    </row>
    <row r="137" spans="1:22" ht="14.4" x14ac:dyDescent="0.3">
      <c r="A137" s="1" t="s">
        <v>25</v>
      </c>
      <c r="B137" s="45">
        <v>16.004999999999999</v>
      </c>
      <c r="C137" s="62"/>
      <c r="D137" s="98">
        <v>198.71554499999999</v>
      </c>
      <c r="E137" s="98"/>
      <c r="F137" s="63"/>
      <c r="G137" s="64">
        <v>600</v>
      </c>
      <c r="H137" s="63"/>
      <c r="I137" s="45" t="s">
        <v>122</v>
      </c>
      <c r="J137" s="1">
        <v>376</v>
      </c>
      <c r="K137" s="65" t="s">
        <v>23</v>
      </c>
      <c r="L137" s="65" t="s">
        <v>24</v>
      </c>
      <c r="M137" s="66">
        <v>634629</v>
      </c>
      <c r="N137" s="66">
        <v>3194</v>
      </c>
      <c r="O137" s="66">
        <v>215774</v>
      </c>
      <c r="P137" s="66">
        <v>850403</v>
      </c>
      <c r="Q137" s="67">
        <v>0.4</v>
      </c>
      <c r="R137" s="66">
        <v>340161</v>
      </c>
      <c r="S137" s="55">
        <v>1190564.04</v>
      </c>
      <c r="T137" s="106">
        <f>IF(A137="Upgrade",IF(OR(H137=4,H137=5),_xlfn.XLOOKUP(I137,'Renewal Rates'!$A$22:$A$27,'Renewal Rates'!$B$22:$B$27,'Renewal Rates'!$B$27,0),'Renewal Rates'!$F$7),IF(A137="Renewal",100%,0%))</f>
        <v>0</v>
      </c>
      <c r="U137" s="68">
        <f t="shared" si="2"/>
        <v>0</v>
      </c>
      <c r="V137" s="68"/>
    </row>
    <row r="138" spans="1:22" ht="14.4" x14ac:dyDescent="0.3">
      <c r="A138" s="1" t="s">
        <v>25</v>
      </c>
      <c r="B138" s="45">
        <v>16.001000000000001</v>
      </c>
      <c r="C138" s="62"/>
      <c r="D138" s="98">
        <v>250.62589800000001</v>
      </c>
      <c r="E138" s="98"/>
      <c r="F138" s="63"/>
      <c r="G138" s="64">
        <v>525</v>
      </c>
      <c r="H138" s="63"/>
      <c r="I138" s="45" t="s">
        <v>122</v>
      </c>
      <c r="J138" s="1">
        <v>376</v>
      </c>
      <c r="K138" s="65" t="s">
        <v>23</v>
      </c>
      <c r="L138" s="65" t="s">
        <v>24</v>
      </c>
      <c r="M138" s="66">
        <v>726388</v>
      </c>
      <c r="N138" s="66">
        <v>2898</v>
      </c>
      <c r="O138" s="66">
        <v>246972</v>
      </c>
      <c r="P138" s="66">
        <v>973360</v>
      </c>
      <c r="Q138" s="67">
        <v>0.4</v>
      </c>
      <c r="R138" s="66">
        <v>389344</v>
      </c>
      <c r="S138" s="55">
        <v>1362703.52</v>
      </c>
      <c r="T138" s="106">
        <f>IF(A138="Upgrade",IF(OR(H138=4,H138=5),_xlfn.XLOOKUP(I138,'Renewal Rates'!$A$22:$A$27,'Renewal Rates'!$B$22:$B$27,'Renewal Rates'!$B$27,0),'Renewal Rates'!$F$7),IF(A138="Renewal",100%,0%))</f>
        <v>0</v>
      </c>
      <c r="U138" s="68">
        <f t="shared" si="2"/>
        <v>0</v>
      </c>
      <c r="V138" s="68"/>
    </row>
    <row r="139" spans="1:22" ht="14.4" x14ac:dyDescent="0.3">
      <c r="A139" s="1" t="s">
        <v>25</v>
      </c>
      <c r="B139" s="45">
        <v>16.001999999999999</v>
      </c>
      <c r="C139" s="62"/>
      <c r="D139" s="98">
        <v>106.437091</v>
      </c>
      <c r="E139" s="98"/>
      <c r="F139" s="63"/>
      <c r="G139" s="64">
        <v>525</v>
      </c>
      <c r="H139" s="63"/>
      <c r="I139" s="45" t="s">
        <v>122</v>
      </c>
      <c r="J139" s="1">
        <v>376</v>
      </c>
      <c r="K139" s="65" t="s">
        <v>23</v>
      </c>
      <c r="L139" s="65" t="s">
        <v>24</v>
      </c>
      <c r="M139" s="66">
        <v>297326</v>
      </c>
      <c r="N139" s="66">
        <v>2793</v>
      </c>
      <c r="O139" s="66">
        <v>101091</v>
      </c>
      <c r="P139" s="66">
        <v>398417</v>
      </c>
      <c r="Q139" s="67">
        <v>0.4</v>
      </c>
      <c r="R139" s="66">
        <v>159367</v>
      </c>
      <c r="S139" s="55">
        <v>557784.27</v>
      </c>
      <c r="T139" s="106">
        <f>IF(A139="Upgrade",IF(OR(H139=4,H139=5),_xlfn.XLOOKUP(I139,'Renewal Rates'!$A$22:$A$27,'Renewal Rates'!$B$22:$B$27,'Renewal Rates'!$B$27,0),'Renewal Rates'!$F$7),IF(A139="Renewal",100%,0%))</f>
        <v>0</v>
      </c>
      <c r="U139" s="68">
        <f t="shared" si="2"/>
        <v>0</v>
      </c>
      <c r="V139" s="68"/>
    </row>
    <row r="140" spans="1:22" ht="14.4" x14ac:dyDescent="0.3">
      <c r="A140" s="1" t="s">
        <v>25</v>
      </c>
      <c r="B140" s="45">
        <v>17.009</v>
      </c>
      <c r="C140" s="62"/>
      <c r="D140" s="98">
        <v>94.115737999999993</v>
      </c>
      <c r="E140" s="98"/>
      <c r="F140" s="63"/>
      <c r="G140" s="64">
        <v>450</v>
      </c>
      <c r="H140" s="63"/>
      <c r="I140" s="45" t="s">
        <v>122</v>
      </c>
      <c r="J140" s="1">
        <v>376</v>
      </c>
      <c r="K140" s="65" t="s">
        <v>23</v>
      </c>
      <c r="L140" s="65" t="s">
        <v>24</v>
      </c>
      <c r="M140" s="66">
        <v>263815</v>
      </c>
      <c r="N140" s="66">
        <v>2803</v>
      </c>
      <c r="O140" s="66">
        <v>89697</v>
      </c>
      <c r="P140" s="66">
        <v>353511</v>
      </c>
      <c r="Q140" s="67">
        <v>0.4</v>
      </c>
      <c r="R140" s="66">
        <v>141405</v>
      </c>
      <c r="S140" s="55">
        <v>494916.05</v>
      </c>
      <c r="T140" s="106">
        <f>IF(A140="Upgrade",IF(OR(H140=4,H140=5),_xlfn.XLOOKUP(I140,'Renewal Rates'!$A$22:$A$27,'Renewal Rates'!$B$22:$B$27,'Renewal Rates'!$B$27,0),'Renewal Rates'!$F$7),IF(A140="Renewal",100%,0%))</f>
        <v>0</v>
      </c>
      <c r="U140" s="68">
        <f t="shared" si="2"/>
        <v>0</v>
      </c>
      <c r="V140" s="68"/>
    </row>
    <row r="141" spans="1:22" ht="14.4" x14ac:dyDescent="0.3">
      <c r="A141" s="1" t="s">
        <v>25</v>
      </c>
      <c r="B141" s="45">
        <v>17.004999999999999</v>
      </c>
      <c r="C141" s="62"/>
      <c r="D141" s="98">
        <v>198.93311299999999</v>
      </c>
      <c r="E141" s="98"/>
      <c r="F141" s="63"/>
      <c r="G141" s="64">
        <v>750</v>
      </c>
      <c r="H141" s="63"/>
      <c r="I141" s="45" t="s">
        <v>122</v>
      </c>
      <c r="J141" s="1">
        <v>376</v>
      </c>
      <c r="K141" s="65" t="s">
        <v>23</v>
      </c>
      <c r="L141" s="65" t="s">
        <v>24</v>
      </c>
      <c r="M141" s="66">
        <v>805669</v>
      </c>
      <c r="N141" s="66">
        <v>4050</v>
      </c>
      <c r="O141" s="66">
        <v>273928</v>
      </c>
      <c r="P141" s="66">
        <v>1079597</v>
      </c>
      <c r="Q141" s="67">
        <v>0.4</v>
      </c>
      <c r="R141" s="66">
        <v>431839</v>
      </c>
      <c r="S141" s="55">
        <v>1511435.49</v>
      </c>
      <c r="T141" s="106">
        <f>IF(A141="Upgrade",IF(OR(H141=4,H141=5),_xlfn.XLOOKUP(I141,'Renewal Rates'!$A$22:$A$27,'Renewal Rates'!$B$22:$B$27,'Renewal Rates'!$B$27,0),'Renewal Rates'!$F$7),IF(A141="Renewal",100%,0%))</f>
        <v>0</v>
      </c>
      <c r="U141" s="68">
        <f t="shared" si="2"/>
        <v>0</v>
      </c>
      <c r="V141" s="68"/>
    </row>
    <row r="142" spans="1:22" ht="14.4" x14ac:dyDescent="0.3">
      <c r="A142" s="1" t="s">
        <v>25</v>
      </c>
      <c r="B142" s="45">
        <v>17.004000000000001</v>
      </c>
      <c r="C142" s="62"/>
      <c r="D142" s="98">
        <v>50.949570999999999</v>
      </c>
      <c r="E142" s="98"/>
      <c r="F142" s="63"/>
      <c r="G142" s="64">
        <v>450</v>
      </c>
      <c r="H142" s="63"/>
      <c r="I142" s="45" t="s">
        <v>122</v>
      </c>
      <c r="J142" s="1">
        <v>376</v>
      </c>
      <c r="K142" s="65" t="s">
        <v>23</v>
      </c>
      <c r="L142" s="65" t="s">
        <v>24</v>
      </c>
      <c r="M142" s="66">
        <v>174736</v>
      </c>
      <c r="N142" s="66">
        <v>3430</v>
      </c>
      <c r="O142" s="66">
        <v>59410</v>
      </c>
      <c r="P142" s="66">
        <v>234147</v>
      </c>
      <c r="Q142" s="67">
        <v>0.4</v>
      </c>
      <c r="R142" s="66">
        <v>93659</v>
      </c>
      <c r="S142" s="55">
        <v>327805.11</v>
      </c>
      <c r="T142" s="106">
        <f>IF(A142="Upgrade",IF(OR(H142=4,H142=5),_xlfn.XLOOKUP(I142,'Renewal Rates'!$A$22:$A$27,'Renewal Rates'!$B$22:$B$27,'Renewal Rates'!$B$27,0),'Renewal Rates'!$F$7),IF(A142="Renewal",100%,0%))</f>
        <v>0</v>
      </c>
      <c r="U142" s="68">
        <f t="shared" si="2"/>
        <v>0</v>
      </c>
      <c r="V142" s="68"/>
    </row>
    <row r="143" spans="1:22" ht="14.4" x14ac:dyDescent="0.3">
      <c r="A143" s="1" t="s">
        <v>25</v>
      </c>
      <c r="B143" s="45">
        <v>17.003</v>
      </c>
      <c r="C143" s="62"/>
      <c r="D143" s="98">
        <v>73.171875999999997</v>
      </c>
      <c r="E143" s="98"/>
      <c r="F143" s="63"/>
      <c r="G143" s="64">
        <v>525</v>
      </c>
      <c r="H143" s="63"/>
      <c r="I143" s="45" t="s">
        <v>122</v>
      </c>
      <c r="J143" s="1">
        <v>376</v>
      </c>
      <c r="K143" s="65" t="s">
        <v>23</v>
      </c>
      <c r="L143" s="65" t="s">
        <v>24</v>
      </c>
      <c r="M143" s="66">
        <v>223862</v>
      </c>
      <c r="N143" s="66">
        <v>3059</v>
      </c>
      <c r="O143" s="66">
        <v>76113</v>
      </c>
      <c r="P143" s="66">
        <v>299975</v>
      </c>
      <c r="Q143" s="67">
        <v>0.4</v>
      </c>
      <c r="R143" s="66">
        <v>119990</v>
      </c>
      <c r="S143" s="55">
        <v>419965.41</v>
      </c>
      <c r="T143" s="106">
        <f>IF(A143="Upgrade",IF(OR(H143=4,H143=5),_xlfn.XLOOKUP(I143,'Renewal Rates'!$A$22:$A$27,'Renewal Rates'!$B$22:$B$27,'Renewal Rates'!$B$27,0),'Renewal Rates'!$F$7),IF(A143="Renewal",100%,0%))</f>
        <v>0</v>
      </c>
      <c r="U143" s="68">
        <f t="shared" si="2"/>
        <v>0</v>
      </c>
      <c r="V143" s="68"/>
    </row>
    <row r="144" spans="1:22" ht="14.4" x14ac:dyDescent="0.3">
      <c r="A144" s="1" t="s">
        <v>25</v>
      </c>
      <c r="B144" s="45">
        <v>17.001999999999999</v>
      </c>
      <c r="C144" s="62"/>
      <c r="D144" s="98">
        <v>97.838537000000002</v>
      </c>
      <c r="E144" s="98"/>
      <c r="F144" s="63"/>
      <c r="G144" s="64">
        <v>525</v>
      </c>
      <c r="H144" s="63"/>
      <c r="I144" s="45" t="s">
        <v>122</v>
      </c>
      <c r="J144" s="1">
        <v>376</v>
      </c>
      <c r="K144" s="65" t="s">
        <v>23</v>
      </c>
      <c r="L144" s="65" t="s">
        <v>24</v>
      </c>
      <c r="M144" s="66">
        <v>284270</v>
      </c>
      <c r="N144" s="66">
        <v>2906</v>
      </c>
      <c r="O144" s="66">
        <v>96652</v>
      </c>
      <c r="P144" s="66">
        <v>380922</v>
      </c>
      <c r="Q144" s="67">
        <v>0.4</v>
      </c>
      <c r="R144" s="66">
        <v>152369</v>
      </c>
      <c r="S144" s="55">
        <v>533291.36</v>
      </c>
      <c r="T144" s="106">
        <f>IF(A144="Upgrade",IF(OR(H144=4,H144=5),_xlfn.XLOOKUP(I144,'Renewal Rates'!$A$22:$A$27,'Renewal Rates'!$B$22:$B$27,'Renewal Rates'!$B$27,0),'Renewal Rates'!$F$7),IF(A144="Renewal",100%,0%))</f>
        <v>0</v>
      </c>
      <c r="U144" s="68">
        <f t="shared" si="2"/>
        <v>0</v>
      </c>
      <c r="V144" s="68"/>
    </row>
    <row r="145" spans="1:22" ht="14.4" x14ac:dyDescent="0.3">
      <c r="A145" s="1" t="s">
        <v>25</v>
      </c>
      <c r="B145" s="45">
        <v>17.015000000000001</v>
      </c>
      <c r="C145" s="62"/>
      <c r="D145" s="98">
        <v>100.116967</v>
      </c>
      <c r="E145" s="98"/>
      <c r="F145" s="63"/>
      <c r="G145" s="64">
        <v>375</v>
      </c>
      <c r="H145" s="63"/>
      <c r="I145" s="45" t="s">
        <v>122</v>
      </c>
      <c r="J145" s="1">
        <v>376</v>
      </c>
      <c r="K145" s="65" t="s">
        <v>23</v>
      </c>
      <c r="L145" s="65" t="s">
        <v>24</v>
      </c>
      <c r="M145" s="66">
        <v>237666</v>
      </c>
      <c r="N145" s="66">
        <v>2374</v>
      </c>
      <c r="O145" s="66">
        <v>80806</v>
      </c>
      <c r="P145" s="66">
        <v>318473</v>
      </c>
      <c r="Q145" s="67">
        <v>0.4</v>
      </c>
      <c r="R145" s="66">
        <v>127389</v>
      </c>
      <c r="S145" s="55">
        <v>445861.51</v>
      </c>
      <c r="T145" s="106">
        <f>IF(A145="Upgrade",IF(OR(H145=4,H145=5),_xlfn.XLOOKUP(I145,'Renewal Rates'!$A$22:$A$27,'Renewal Rates'!$B$22:$B$27,'Renewal Rates'!$B$27,0),'Renewal Rates'!$F$7),IF(A145="Renewal",100%,0%))</f>
        <v>0</v>
      </c>
      <c r="U145" s="68">
        <f t="shared" si="2"/>
        <v>0</v>
      </c>
      <c r="V145" s="68"/>
    </row>
    <row r="146" spans="1:22" ht="14.4" x14ac:dyDescent="0.3">
      <c r="A146" s="1" t="s">
        <v>25</v>
      </c>
      <c r="B146" s="45">
        <v>17.010999999999999</v>
      </c>
      <c r="C146" s="62"/>
      <c r="D146" s="98">
        <v>96.822377000000003</v>
      </c>
      <c r="E146" s="98"/>
      <c r="F146" s="63"/>
      <c r="G146" s="64">
        <v>300</v>
      </c>
      <c r="H146" s="63"/>
      <c r="I146" s="45" t="s">
        <v>122</v>
      </c>
      <c r="J146" s="1">
        <v>376</v>
      </c>
      <c r="K146" s="65" t="s">
        <v>23</v>
      </c>
      <c r="L146" s="65" t="s">
        <v>24</v>
      </c>
      <c r="M146" s="66">
        <v>175321</v>
      </c>
      <c r="N146" s="66">
        <v>1811</v>
      </c>
      <c r="O146" s="66">
        <v>59609</v>
      </c>
      <c r="P146" s="66">
        <v>234930</v>
      </c>
      <c r="Q146" s="67">
        <v>0.4</v>
      </c>
      <c r="R146" s="66">
        <v>93972</v>
      </c>
      <c r="S146" s="55">
        <v>328902.53999999998</v>
      </c>
      <c r="T146" s="106">
        <f>IF(A146="Upgrade",IF(OR(H146=4,H146=5),_xlfn.XLOOKUP(I146,'Renewal Rates'!$A$22:$A$27,'Renewal Rates'!$B$22:$B$27,'Renewal Rates'!$B$27,0),'Renewal Rates'!$F$7),IF(A146="Renewal",100%,0%))</f>
        <v>0</v>
      </c>
      <c r="U146" s="68">
        <f t="shared" si="2"/>
        <v>0</v>
      </c>
      <c r="V146" s="68"/>
    </row>
    <row r="147" spans="1:22" ht="14.4" x14ac:dyDescent="0.3">
      <c r="A147" s="1" t="s">
        <v>25</v>
      </c>
      <c r="B147" s="45">
        <v>17.013999999999999</v>
      </c>
      <c r="C147" s="62"/>
      <c r="D147" s="98">
        <v>113.757841</v>
      </c>
      <c r="E147" s="98"/>
      <c r="F147" s="63"/>
      <c r="G147" s="64">
        <v>750</v>
      </c>
      <c r="H147" s="63"/>
      <c r="I147" s="45" t="s">
        <v>122</v>
      </c>
      <c r="J147" s="1">
        <v>376</v>
      </c>
      <c r="K147" s="65" t="s">
        <v>23</v>
      </c>
      <c r="L147" s="65" t="s">
        <v>24</v>
      </c>
      <c r="M147" s="66">
        <v>467024</v>
      </c>
      <c r="N147" s="66">
        <v>4105</v>
      </c>
      <c r="O147" s="66">
        <v>158788</v>
      </c>
      <c r="P147" s="66">
        <v>625812</v>
      </c>
      <c r="Q147" s="67">
        <v>0.4</v>
      </c>
      <c r="R147" s="66">
        <v>250325</v>
      </c>
      <c r="S147" s="55">
        <v>876137.25</v>
      </c>
      <c r="T147" s="106">
        <f>IF(A147="Upgrade",IF(OR(H147=4,H147=5),_xlfn.XLOOKUP(I147,'Renewal Rates'!$A$22:$A$27,'Renewal Rates'!$B$22:$B$27,'Renewal Rates'!$B$27,0),'Renewal Rates'!$F$7),IF(A147="Renewal",100%,0%))</f>
        <v>0</v>
      </c>
      <c r="U147" s="68">
        <f t="shared" si="2"/>
        <v>0</v>
      </c>
      <c r="V147" s="68"/>
    </row>
    <row r="148" spans="1:22" ht="14.4" x14ac:dyDescent="0.3">
      <c r="A148" s="1" t="s">
        <v>25</v>
      </c>
      <c r="B148" s="45">
        <v>17.012</v>
      </c>
      <c r="C148" s="62"/>
      <c r="D148" s="98">
        <v>153.60113000000001</v>
      </c>
      <c r="E148" s="98"/>
      <c r="F148" s="63"/>
      <c r="G148" s="64">
        <v>450</v>
      </c>
      <c r="H148" s="63"/>
      <c r="I148" s="45" t="s">
        <v>122</v>
      </c>
      <c r="J148" s="1">
        <v>376</v>
      </c>
      <c r="K148" s="65" t="s">
        <v>23</v>
      </c>
      <c r="L148" s="65" t="s">
        <v>24</v>
      </c>
      <c r="M148" s="66">
        <v>406258</v>
      </c>
      <c r="N148" s="66">
        <v>2645</v>
      </c>
      <c r="O148" s="66">
        <v>138128</v>
      </c>
      <c r="P148" s="66">
        <v>544386</v>
      </c>
      <c r="Q148" s="67">
        <v>0.4</v>
      </c>
      <c r="R148" s="66">
        <v>217755</v>
      </c>
      <c r="S148" s="55">
        <v>762140.76</v>
      </c>
      <c r="T148" s="106">
        <f>IF(A148="Upgrade",IF(OR(H148=4,H148=5),_xlfn.XLOOKUP(I148,'Renewal Rates'!$A$22:$A$27,'Renewal Rates'!$B$22:$B$27,'Renewal Rates'!$B$27,0),'Renewal Rates'!$F$7),IF(A148="Renewal",100%,0%))</f>
        <v>0</v>
      </c>
      <c r="U148" s="68">
        <f t="shared" si="2"/>
        <v>0</v>
      </c>
      <c r="V148" s="68"/>
    </row>
    <row r="149" spans="1:22" ht="14.4" x14ac:dyDescent="0.3">
      <c r="A149" s="1" t="s">
        <v>25</v>
      </c>
      <c r="B149" s="45">
        <v>17.013000000000002</v>
      </c>
      <c r="C149" s="62"/>
      <c r="D149" s="98">
        <v>74.065578000000002</v>
      </c>
      <c r="E149" s="98"/>
      <c r="F149" s="63"/>
      <c r="G149" s="64">
        <v>975</v>
      </c>
      <c r="H149" s="63"/>
      <c r="I149" s="45" t="s">
        <v>122</v>
      </c>
      <c r="J149" s="1">
        <v>376</v>
      </c>
      <c r="K149" s="65" t="s">
        <v>23</v>
      </c>
      <c r="L149" s="65" t="s">
        <v>24</v>
      </c>
      <c r="M149" s="66">
        <v>469982</v>
      </c>
      <c r="N149" s="66">
        <v>6345</v>
      </c>
      <c r="O149" s="66">
        <v>159794</v>
      </c>
      <c r="P149" s="66">
        <v>629776</v>
      </c>
      <c r="Q149" s="67">
        <v>0.4</v>
      </c>
      <c r="R149" s="66">
        <v>251910</v>
      </c>
      <c r="S149" s="55">
        <v>881685.79</v>
      </c>
      <c r="T149" s="106">
        <f>IF(A149="Upgrade",IF(OR(H149=4,H149=5),_xlfn.XLOOKUP(I149,'Renewal Rates'!$A$22:$A$27,'Renewal Rates'!$B$22:$B$27,'Renewal Rates'!$B$27,0),'Renewal Rates'!$F$7),IF(A149="Renewal",100%,0%))</f>
        <v>0</v>
      </c>
      <c r="U149" s="68">
        <f t="shared" si="2"/>
        <v>0</v>
      </c>
      <c r="V149" s="68"/>
    </row>
    <row r="150" spans="1:22" ht="14.4" x14ac:dyDescent="0.3">
      <c r="A150" s="1" t="s">
        <v>25</v>
      </c>
      <c r="B150" s="45">
        <v>18.001000000000001</v>
      </c>
      <c r="C150" s="62"/>
      <c r="D150" s="98">
        <v>154.90882400000001</v>
      </c>
      <c r="E150" s="98"/>
      <c r="F150" s="63"/>
      <c r="G150" s="64">
        <v>525</v>
      </c>
      <c r="H150" s="63"/>
      <c r="I150" s="45" t="s">
        <v>122</v>
      </c>
      <c r="J150" s="1">
        <v>377</v>
      </c>
      <c r="K150" s="65" t="s">
        <v>23</v>
      </c>
      <c r="L150" s="65" t="s">
        <v>24</v>
      </c>
      <c r="M150" s="66">
        <v>485403</v>
      </c>
      <c r="N150" s="66">
        <v>3133</v>
      </c>
      <c r="O150" s="66">
        <v>165037</v>
      </c>
      <c r="P150" s="66">
        <v>650440</v>
      </c>
      <c r="Q150" s="67">
        <v>0.4</v>
      </c>
      <c r="R150" s="66">
        <v>260176</v>
      </c>
      <c r="S150" s="55">
        <v>910615.86</v>
      </c>
      <c r="T150" s="106">
        <f>IF(A150="Upgrade",IF(OR(H150=4,H150=5),_xlfn.XLOOKUP(I150,'Renewal Rates'!$A$22:$A$27,'Renewal Rates'!$B$22:$B$27,'Renewal Rates'!$B$27,0),'Renewal Rates'!$F$7),IF(A150="Renewal",100%,0%))</f>
        <v>0</v>
      </c>
      <c r="U150" s="68">
        <f t="shared" si="2"/>
        <v>0</v>
      </c>
      <c r="V150" s="68"/>
    </row>
    <row r="151" spans="1:22" ht="14.4" x14ac:dyDescent="0.3">
      <c r="A151" s="1" t="s">
        <v>25</v>
      </c>
      <c r="B151" s="45">
        <v>18.001999999999999</v>
      </c>
      <c r="C151" s="62"/>
      <c r="D151" s="98">
        <v>84.224491999999998</v>
      </c>
      <c r="E151" s="98"/>
      <c r="F151" s="63"/>
      <c r="G151" s="64">
        <v>600</v>
      </c>
      <c r="H151" s="63"/>
      <c r="I151" s="45" t="s">
        <v>122</v>
      </c>
      <c r="J151" s="1">
        <v>377</v>
      </c>
      <c r="K151" s="65" t="s">
        <v>23</v>
      </c>
      <c r="L151" s="65" t="s">
        <v>24</v>
      </c>
      <c r="M151" s="66">
        <v>285034</v>
      </c>
      <c r="N151" s="66">
        <v>3384</v>
      </c>
      <c r="O151" s="66">
        <v>96912</v>
      </c>
      <c r="P151" s="66">
        <v>381946</v>
      </c>
      <c r="Q151" s="67">
        <v>0.4</v>
      </c>
      <c r="R151" s="66">
        <v>152778</v>
      </c>
      <c r="S151" s="55">
        <v>534723.69999999995</v>
      </c>
      <c r="T151" s="106">
        <f>IF(A151="Upgrade",IF(OR(H151=4,H151=5),_xlfn.XLOOKUP(I151,'Renewal Rates'!$A$22:$A$27,'Renewal Rates'!$B$22:$B$27,'Renewal Rates'!$B$27,0),'Renewal Rates'!$F$7),IF(A151="Renewal",100%,0%))</f>
        <v>0</v>
      </c>
      <c r="U151" s="68">
        <f t="shared" si="2"/>
        <v>0</v>
      </c>
      <c r="V151" s="68"/>
    </row>
    <row r="152" spans="1:22" ht="14.4" x14ac:dyDescent="0.3">
      <c r="A152" s="1" t="s">
        <v>25</v>
      </c>
      <c r="B152" s="45" t="s">
        <v>42</v>
      </c>
      <c r="C152" s="62"/>
      <c r="D152" s="98">
        <v>70.875163999999998</v>
      </c>
      <c r="E152" s="98"/>
      <c r="F152" s="63"/>
      <c r="G152" s="64">
        <v>450</v>
      </c>
      <c r="H152" s="63"/>
      <c r="I152" s="45" t="s">
        <v>122</v>
      </c>
      <c r="J152" s="1">
        <v>376</v>
      </c>
      <c r="K152" s="65" t="s">
        <v>23</v>
      </c>
      <c r="L152" s="65" t="s">
        <v>24</v>
      </c>
      <c r="M152" s="66">
        <v>191995</v>
      </c>
      <c r="N152" s="66">
        <v>2709</v>
      </c>
      <c r="O152" s="66">
        <v>65278</v>
      </c>
      <c r="P152" s="66">
        <v>257274</v>
      </c>
      <c r="Q152" s="67">
        <v>0.4</v>
      </c>
      <c r="R152" s="66">
        <v>102909</v>
      </c>
      <c r="S152" s="55">
        <v>360183.05</v>
      </c>
      <c r="T152" s="106">
        <f>IF(A152="Upgrade",IF(OR(H152=4,H152=5),_xlfn.XLOOKUP(I152,'Renewal Rates'!$A$22:$A$27,'Renewal Rates'!$B$22:$B$27,'Renewal Rates'!$B$27,0),'Renewal Rates'!$F$7),IF(A152="Renewal",100%,0%))</f>
        <v>0</v>
      </c>
      <c r="U152" s="68">
        <f t="shared" si="2"/>
        <v>0</v>
      </c>
      <c r="V152" s="68"/>
    </row>
    <row r="153" spans="1:22" ht="14.4" x14ac:dyDescent="0.3">
      <c r="A153" s="1" t="s">
        <v>25</v>
      </c>
      <c r="B153" s="45" t="s">
        <v>47</v>
      </c>
      <c r="C153" s="62"/>
      <c r="D153" s="98">
        <v>83.241617000000005</v>
      </c>
      <c r="E153" s="98"/>
      <c r="F153" s="63"/>
      <c r="G153" s="64">
        <v>525</v>
      </c>
      <c r="H153" s="63"/>
      <c r="I153" s="45" t="s">
        <v>122</v>
      </c>
      <c r="J153" s="1">
        <v>376</v>
      </c>
      <c r="K153" s="65" t="s">
        <v>23</v>
      </c>
      <c r="L153" s="65" t="s">
        <v>24</v>
      </c>
      <c r="M153" s="66">
        <v>268470</v>
      </c>
      <c r="N153" s="66">
        <v>3225</v>
      </c>
      <c r="O153" s="66">
        <v>91280</v>
      </c>
      <c r="P153" s="66">
        <v>359750</v>
      </c>
      <c r="Q153" s="67">
        <v>0.4</v>
      </c>
      <c r="R153" s="66">
        <v>143900</v>
      </c>
      <c r="S153" s="55">
        <v>503650.23</v>
      </c>
      <c r="T153" s="106">
        <f>IF(A153="Upgrade",IF(OR(H153=4,H153=5),_xlfn.XLOOKUP(I153,'Renewal Rates'!$A$22:$A$27,'Renewal Rates'!$B$22:$B$27,'Renewal Rates'!$B$27,0),'Renewal Rates'!$F$7),IF(A153="Renewal",100%,0%))</f>
        <v>0</v>
      </c>
      <c r="U153" s="68">
        <f t="shared" si="2"/>
        <v>0</v>
      </c>
      <c r="V153" s="68"/>
    </row>
    <row r="154" spans="1:22" ht="14.4" x14ac:dyDescent="0.3">
      <c r="A154" s="1" t="s">
        <v>25</v>
      </c>
      <c r="B154" s="45">
        <v>1.0009999999999999</v>
      </c>
      <c r="C154" s="62"/>
      <c r="D154" s="98">
        <v>55.455094000000003</v>
      </c>
      <c r="E154" s="98"/>
      <c r="F154" s="63"/>
      <c r="G154" s="64">
        <v>450</v>
      </c>
      <c r="H154" s="63"/>
      <c r="I154" s="45" t="s">
        <v>122</v>
      </c>
      <c r="J154" s="1">
        <v>385</v>
      </c>
      <c r="K154" s="65" t="s">
        <v>23</v>
      </c>
      <c r="L154" s="65" t="s">
        <v>24</v>
      </c>
      <c r="M154" s="66">
        <v>161567</v>
      </c>
      <c r="N154" s="66">
        <v>2913</v>
      </c>
      <c r="O154" s="66">
        <v>54933</v>
      </c>
      <c r="P154" s="66">
        <v>216500</v>
      </c>
      <c r="Q154" s="67">
        <v>0.4</v>
      </c>
      <c r="R154" s="66">
        <v>86600</v>
      </c>
      <c r="S154" s="55">
        <v>303100</v>
      </c>
      <c r="T154" s="106">
        <f>IF(A154="Upgrade",IF(OR(H154=4,H154=5),_xlfn.XLOOKUP(I154,'Renewal Rates'!$A$22:$A$27,'Renewal Rates'!$B$22:$B$27,'Renewal Rates'!$B$27,0),'Renewal Rates'!$F$7),IF(A154="Renewal",100%,0%))</f>
        <v>0</v>
      </c>
      <c r="U154" s="68">
        <f t="shared" si="2"/>
        <v>0</v>
      </c>
      <c r="V154" s="68"/>
    </row>
    <row r="155" spans="1:22" ht="14.4" x14ac:dyDescent="0.3">
      <c r="A155" s="1" t="s">
        <v>25</v>
      </c>
      <c r="B155" s="45">
        <v>1.0029999999999999</v>
      </c>
      <c r="C155" s="62"/>
      <c r="D155" s="98">
        <v>37.778323</v>
      </c>
      <c r="E155" s="98"/>
      <c r="F155" s="63"/>
      <c r="G155" s="64">
        <v>375</v>
      </c>
      <c r="H155" s="63"/>
      <c r="I155" s="45" t="s">
        <v>122</v>
      </c>
      <c r="J155" s="1">
        <v>385</v>
      </c>
      <c r="K155" s="65" t="s">
        <v>23</v>
      </c>
      <c r="L155" s="65" t="s">
        <v>24</v>
      </c>
      <c r="M155" s="66">
        <v>278158</v>
      </c>
      <c r="N155" s="66">
        <v>3062</v>
      </c>
      <c r="O155" s="66">
        <v>94574</v>
      </c>
      <c r="P155" s="66">
        <v>372732</v>
      </c>
      <c r="Q155" s="67">
        <v>0.4</v>
      </c>
      <c r="R155" s="66">
        <v>149093</v>
      </c>
      <c r="S155" s="55">
        <v>521824.37</v>
      </c>
      <c r="T155" s="106">
        <f>IF(A155="Upgrade",IF(OR(H155=4,H155=5),_xlfn.XLOOKUP(I155,'Renewal Rates'!$A$22:$A$27,'Renewal Rates'!$B$22:$B$27,'Renewal Rates'!$B$27,0),'Renewal Rates'!$F$7),IF(A155="Renewal",100%,0%))</f>
        <v>0</v>
      </c>
      <c r="U155" s="68">
        <f t="shared" si="2"/>
        <v>0</v>
      </c>
      <c r="V155" s="68"/>
    </row>
    <row r="156" spans="1:22" ht="14.4" x14ac:dyDescent="0.3">
      <c r="A156" s="1" t="s">
        <v>25</v>
      </c>
      <c r="B156" s="45">
        <v>1.002</v>
      </c>
      <c r="C156" s="62"/>
      <c r="D156" s="98">
        <v>75.162858</v>
      </c>
      <c r="E156" s="98"/>
      <c r="F156" s="63"/>
      <c r="G156" s="64">
        <v>450</v>
      </c>
      <c r="H156" s="63"/>
      <c r="I156" s="45" t="s">
        <v>122</v>
      </c>
      <c r="J156" s="1">
        <v>385</v>
      </c>
      <c r="K156" s="65" t="s">
        <v>23</v>
      </c>
      <c r="L156" s="65" t="s">
        <v>24</v>
      </c>
      <c r="M156" s="66">
        <v>155990</v>
      </c>
      <c r="N156" s="66">
        <v>2394</v>
      </c>
      <c r="O156" s="66">
        <v>53037</v>
      </c>
      <c r="P156" s="66">
        <v>209026</v>
      </c>
      <c r="Q156" s="67">
        <v>0.4</v>
      </c>
      <c r="R156" s="66">
        <v>83611</v>
      </c>
      <c r="S156" s="55">
        <v>292636.95</v>
      </c>
      <c r="T156" s="106">
        <f>IF(A156="Upgrade",IF(OR(H156=4,H156=5),_xlfn.XLOOKUP(I156,'Renewal Rates'!$A$22:$A$27,'Renewal Rates'!$B$22:$B$27,'Renewal Rates'!$B$27,0),'Renewal Rates'!$F$7),IF(A156="Renewal",100%,0%))</f>
        <v>0</v>
      </c>
      <c r="U156" s="68">
        <f t="shared" si="2"/>
        <v>0</v>
      </c>
      <c r="V156" s="68"/>
    </row>
    <row r="157" spans="1:22" ht="14.4" x14ac:dyDescent="0.3">
      <c r="A157" s="1" t="s">
        <v>25</v>
      </c>
      <c r="B157" s="45">
        <v>1.0089999999999999</v>
      </c>
      <c r="C157" s="62"/>
      <c r="D157" s="98">
        <v>59.107850999999997</v>
      </c>
      <c r="E157" s="98"/>
      <c r="F157" s="63"/>
      <c r="G157" s="64">
        <v>375</v>
      </c>
      <c r="H157" s="63"/>
      <c r="I157" s="45" t="s">
        <v>122</v>
      </c>
      <c r="J157" s="1">
        <v>385</v>
      </c>
      <c r="K157" s="65" t="s">
        <v>23</v>
      </c>
      <c r="L157" s="65" t="s">
        <v>24</v>
      </c>
      <c r="M157" s="66">
        <v>149717</v>
      </c>
      <c r="N157" s="66">
        <v>2533</v>
      </c>
      <c r="O157" s="66">
        <v>50904</v>
      </c>
      <c r="P157" s="66">
        <v>200620</v>
      </c>
      <c r="Q157" s="67">
        <v>0.4</v>
      </c>
      <c r="R157" s="66">
        <v>80248</v>
      </c>
      <c r="S157" s="55">
        <v>280868.28000000003</v>
      </c>
      <c r="T157" s="106">
        <f>IF(A157="Upgrade",IF(OR(H157=4,H157=5),_xlfn.XLOOKUP(I157,'Renewal Rates'!$A$22:$A$27,'Renewal Rates'!$B$22:$B$27,'Renewal Rates'!$B$27,0),'Renewal Rates'!$F$7),IF(A157="Renewal",100%,0%))</f>
        <v>0</v>
      </c>
      <c r="U157" s="68">
        <f t="shared" si="2"/>
        <v>0</v>
      </c>
      <c r="V157" s="68"/>
    </row>
    <row r="158" spans="1:22" ht="14.4" x14ac:dyDescent="0.3">
      <c r="A158" s="1" t="s">
        <v>25</v>
      </c>
      <c r="B158" s="45">
        <v>1.008</v>
      </c>
      <c r="C158" s="62"/>
      <c r="D158" s="98">
        <v>122.97895200000001</v>
      </c>
      <c r="E158" s="98"/>
      <c r="F158" s="63"/>
      <c r="G158" s="64">
        <v>375</v>
      </c>
      <c r="H158" s="63"/>
      <c r="I158" s="45" t="s">
        <v>122</v>
      </c>
      <c r="J158" s="1">
        <v>385</v>
      </c>
      <c r="K158" s="65" t="s">
        <v>23</v>
      </c>
      <c r="L158" s="65" t="s">
        <v>24</v>
      </c>
      <c r="M158" s="66">
        <v>264243</v>
      </c>
      <c r="N158" s="66">
        <v>2790</v>
      </c>
      <c r="O158" s="66">
        <v>89843</v>
      </c>
      <c r="P158" s="66">
        <v>354086</v>
      </c>
      <c r="Q158" s="67">
        <v>0.4</v>
      </c>
      <c r="R158" s="66">
        <v>141634</v>
      </c>
      <c r="S158" s="55">
        <v>495719.82</v>
      </c>
      <c r="T158" s="106">
        <f>IF(A158="Upgrade",IF(OR(H158=4,H158=5),_xlfn.XLOOKUP(I158,'Renewal Rates'!$A$22:$A$27,'Renewal Rates'!$B$22:$B$27,'Renewal Rates'!$B$27,0),'Renewal Rates'!$F$7),IF(A158="Renewal",100%,0%))</f>
        <v>0</v>
      </c>
      <c r="U158" s="68">
        <f t="shared" si="2"/>
        <v>0</v>
      </c>
      <c r="V158" s="68"/>
    </row>
    <row r="159" spans="1:22" ht="14.4" x14ac:dyDescent="0.3">
      <c r="A159" s="1" t="s">
        <v>25</v>
      </c>
      <c r="B159" s="45">
        <v>1.012</v>
      </c>
      <c r="C159" s="62"/>
      <c r="D159" s="98">
        <v>82.221323999999996</v>
      </c>
      <c r="E159" s="98"/>
      <c r="F159" s="63"/>
      <c r="G159" s="64">
        <v>675</v>
      </c>
      <c r="H159" s="63"/>
      <c r="I159" s="45" t="s">
        <v>122</v>
      </c>
      <c r="J159" s="1">
        <v>385</v>
      </c>
      <c r="K159" s="65" t="s">
        <v>23</v>
      </c>
      <c r="L159" s="65" t="s">
        <v>24</v>
      </c>
      <c r="M159" s="66">
        <v>309410</v>
      </c>
      <c r="N159" s="66">
        <v>3763</v>
      </c>
      <c r="O159" s="66">
        <v>105199</v>
      </c>
      <c r="P159" s="66">
        <v>414609</v>
      </c>
      <c r="Q159" s="67">
        <v>0.4</v>
      </c>
      <c r="R159" s="66">
        <v>165844</v>
      </c>
      <c r="S159" s="55">
        <v>580452.98</v>
      </c>
      <c r="T159" s="106">
        <f>IF(A159="Upgrade",IF(OR(H159=4,H159=5),_xlfn.XLOOKUP(I159,'Renewal Rates'!$A$22:$A$27,'Renewal Rates'!$B$22:$B$27,'Renewal Rates'!$B$27,0),'Renewal Rates'!$F$7),IF(A159="Renewal",100%,0%))</f>
        <v>0</v>
      </c>
      <c r="U159" s="68">
        <f t="shared" si="2"/>
        <v>0</v>
      </c>
      <c r="V159" s="68"/>
    </row>
    <row r="160" spans="1:22" ht="14.4" x14ac:dyDescent="0.3">
      <c r="A160" s="1" t="s">
        <v>25</v>
      </c>
      <c r="B160" s="45">
        <v>1.006</v>
      </c>
      <c r="C160" s="62"/>
      <c r="D160" s="98">
        <v>63.183075000000002</v>
      </c>
      <c r="E160" s="98"/>
      <c r="F160" s="63"/>
      <c r="G160" s="64">
        <v>450</v>
      </c>
      <c r="H160" s="63"/>
      <c r="I160" s="45" t="s">
        <v>122</v>
      </c>
      <c r="J160" s="1">
        <v>385</v>
      </c>
      <c r="K160" s="65" t="s">
        <v>23</v>
      </c>
      <c r="L160" s="65" t="s">
        <v>24</v>
      </c>
      <c r="M160" s="66">
        <v>403600</v>
      </c>
      <c r="N160" s="66">
        <v>3237</v>
      </c>
      <c r="O160" s="66">
        <v>137224</v>
      </c>
      <c r="P160" s="66">
        <v>540824</v>
      </c>
      <c r="Q160" s="67">
        <v>0.4</v>
      </c>
      <c r="R160" s="66">
        <v>216329</v>
      </c>
      <c r="S160" s="55">
        <v>757153.02</v>
      </c>
      <c r="T160" s="106">
        <f>IF(A160="Upgrade",IF(OR(H160=4,H160=5),_xlfn.XLOOKUP(I160,'Renewal Rates'!$A$22:$A$27,'Renewal Rates'!$B$22:$B$27,'Renewal Rates'!$B$27,0),'Renewal Rates'!$F$7),IF(A160="Renewal",100%,0%))</f>
        <v>0</v>
      </c>
      <c r="U160" s="68">
        <f t="shared" si="2"/>
        <v>0</v>
      </c>
      <c r="V160" s="68"/>
    </row>
    <row r="161" spans="1:22" ht="14.4" x14ac:dyDescent="0.3">
      <c r="A161" s="1" t="s">
        <v>25</v>
      </c>
      <c r="B161" s="45">
        <v>1.004</v>
      </c>
      <c r="C161" s="62"/>
      <c r="D161" s="98">
        <v>96.766087999999996</v>
      </c>
      <c r="E161" s="98"/>
      <c r="F161" s="63"/>
      <c r="G161" s="64">
        <v>600</v>
      </c>
      <c r="H161" s="63"/>
      <c r="I161" s="45" t="s">
        <v>122</v>
      </c>
      <c r="J161" s="1">
        <v>385</v>
      </c>
      <c r="K161" s="65" t="s">
        <v>23</v>
      </c>
      <c r="L161" s="65" t="s">
        <v>24</v>
      </c>
      <c r="M161" s="66">
        <v>194532</v>
      </c>
      <c r="N161" s="66">
        <v>3146</v>
      </c>
      <c r="O161" s="66">
        <v>66141</v>
      </c>
      <c r="P161" s="66">
        <v>260673</v>
      </c>
      <c r="Q161" s="67">
        <v>0.4</v>
      </c>
      <c r="R161" s="66">
        <v>104269</v>
      </c>
      <c r="S161" s="55">
        <v>364941.78</v>
      </c>
      <c r="T161" s="106">
        <f>IF(A161="Upgrade",IF(OR(H161=4,H161=5),_xlfn.XLOOKUP(I161,'Renewal Rates'!$A$22:$A$27,'Renewal Rates'!$B$22:$B$27,'Renewal Rates'!$B$27,0),'Renewal Rates'!$F$7),IF(A161="Renewal",100%,0%))</f>
        <v>0</v>
      </c>
      <c r="U161" s="68">
        <f t="shared" si="2"/>
        <v>0</v>
      </c>
      <c r="V161" s="68"/>
    </row>
    <row r="162" spans="1:22" ht="14.4" x14ac:dyDescent="0.3">
      <c r="A162" s="1" t="s">
        <v>25</v>
      </c>
      <c r="B162" s="45">
        <v>1.0049999999999999</v>
      </c>
      <c r="C162" s="62"/>
      <c r="D162" s="98">
        <v>149.98971299999999</v>
      </c>
      <c r="E162" s="98"/>
      <c r="F162" s="63"/>
      <c r="G162" s="64">
        <v>750</v>
      </c>
      <c r="H162" s="63"/>
      <c r="I162" s="45" t="s">
        <v>122</v>
      </c>
      <c r="J162" s="1">
        <v>385</v>
      </c>
      <c r="K162" s="65" t="s">
        <v>23</v>
      </c>
      <c r="L162" s="65" t="s">
        <v>24</v>
      </c>
      <c r="M162" s="66">
        <v>579603</v>
      </c>
      <c r="N162" s="66">
        <v>3798</v>
      </c>
      <c r="O162" s="66">
        <v>197065</v>
      </c>
      <c r="P162" s="66">
        <v>776668</v>
      </c>
      <c r="Q162" s="67">
        <v>0.4</v>
      </c>
      <c r="R162" s="66">
        <v>310667</v>
      </c>
      <c r="S162" s="55">
        <v>1087335.8500000001</v>
      </c>
      <c r="T162" s="106">
        <f>IF(A162="Upgrade",IF(OR(H162=4,H162=5),_xlfn.XLOOKUP(I162,'Renewal Rates'!$A$22:$A$27,'Renewal Rates'!$B$22:$B$27,'Renewal Rates'!$B$27,0),'Renewal Rates'!$F$7),IF(A162="Renewal",100%,0%))</f>
        <v>0</v>
      </c>
      <c r="U162" s="68">
        <f t="shared" si="2"/>
        <v>0</v>
      </c>
      <c r="V162" s="68"/>
    </row>
    <row r="163" spans="1:22" ht="14.4" x14ac:dyDescent="0.3">
      <c r="A163" s="1" t="s">
        <v>25</v>
      </c>
      <c r="B163" s="45">
        <v>1.01</v>
      </c>
      <c r="C163" s="62"/>
      <c r="D163" s="98">
        <v>78.021169999999998</v>
      </c>
      <c r="E163" s="98"/>
      <c r="F163" s="63"/>
      <c r="G163" s="64">
        <v>600</v>
      </c>
      <c r="H163" s="63"/>
      <c r="I163" s="45" t="s">
        <v>122</v>
      </c>
      <c r="J163" s="1">
        <v>385</v>
      </c>
      <c r="K163" s="65" t="s">
        <v>23</v>
      </c>
      <c r="L163" s="65" t="s">
        <v>24</v>
      </c>
      <c r="M163" s="66">
        <v>217312</v>
      </c>
      <c r="N163" s="66">
        <v>2785</v>
      </c>
      <c r="O163" s="66">
        <v>88121</v>
      </c>
      <c r="P163" s="66">
        <v>347302</v>
      </c>
      <c r="Q163" s="67">
        <v>0.4</v>
      </c>
      <c r="R163" s="66">
        <v>138921</v>
      </c>
      <c r="S163" s="55">
        <v>486223.239894</v>
      </c>
      <c r="T163" s="106">
        <f>IF(A163="Upgrade",IF(OR(H163=4,H163=5),_xlfn.XLOOKUP(I163,'Renewal Rates'!$A$22:$A$27,'Renewal Rates'!$B$22:$B$27,'Renewal Rates'!$B$27,0),'Renewal Rates'!$F$7),IF(A163="Renewal",100%,0%))</f>
        <v>0</v>
      </c>
      <c r="U163" s="68">
        <f t="shared" si="2"/>
        <v>0</v>
      </c>
      <c r="V163" s="68"/>
    </row>
    <row r="164" spans="1:22" ht="14.4" x14ac:dyDescent="0.3">
      <c r="A164" s="1" t="s">
        <v>125</v>
      </c>
      <c r="B164" s="45">
        <v>2.048</v>
      </c>
      <c r="C164" s="62"/>
      <c r="D164" s="98">
        <v>73.127599000000004</v>
      </c>
      <c r="E164" s="98"/>
      <c r="F164" s="63"/>
      <c r="G164" s="64">
        <v>450</v>
      </c>
      <c r="H164" s="63"/>
      <c r="I164" s="45" t="s">
        <v>122</v>
      </c>
      <c r="J164" s="1">
        <v>385</v>
      </c>
      <c r="K164" s="65" t="s">
        <v>23</v>
      </c>
      <c r="L164" s="65" t="s">
        <v>24</v>
      </c>
      <c r="M164" s="66">
        <v>213038</v>
      </c>
      <c r="N164" s="66">
        <v>2913</v>
      </c>
      <c r="O164" s="66">
        <v>72433</v>
      </c>
      <c r="P164" s="66">
        <v>285471</v>
      </c>
      <c r="Q164" s="67">
        <v>0.4</v>
      </c>
      <c r="R164" s="66">
        <v>114188</v>
      </c>
      <c r="S164" s="55">
        <v>399659.65</v>
      </c>
      <c r="T164" s="106">
        <f>IF(A164="Upgrade",IF(OR(H164=4,H164=5),_xlfn.XLOOKUP(I164,'Renewal Rates'!$A$22:$A$27,'Renewal Rates'!$B$22:$B$27,'Renewal Rates'!$B$27,0),'Renewal Rates'!$F$7),IF(A164="Renewal",100%,0%))</f>
        <v>0</v>
      </c>
      <c r="U164" s="68">
        <f t="shared" si="2"/>
        <v>0</v>
      </c>
      <c r="V164" s="68"/>
    </row>
    <row r="165" spans="1:22" ht="14.4" x14ac:dyDescent="0.3">
      <c r="A165" s="1" t="s">
        <v>25</v>
      </c>
      <c r="B165" s="45">
        <v>2.0499999999999998</v>
      </c>
      <c r="C165" s="62"/>
      <c r="D165" s="98">
        <v>76.895645000000002</v>
      </c>
      <c r="E165" s="98"/>
      <c r="F165" s="63"/>
      <c r="G165" s="64">
        <v>600</v>
      </c>
      <c r="H165" s="63"/>
      <c r="I165" s="45" t="s">
        <v>122</v>
      </c>
      <c r="J165" s="1">
        <v>385</v>
      </c>
      <c r="K165" s="65" t="s">
        <v>23</v>
      </c>
      <c r="L165" s="65" t="s">
        <v>24</v>
      </c>
      <c r="M165" s="66">
        <v>216498</v>
      </c>
      <c r="N165" s="66">
        <v>2815</v>
      </c>
      <c r="O165" s="66">
        <v>87726</v>
      </c>
      <c r="P165" s="66">
        <v>345743</v>
      </c>
      <c r="Q165" s="67">
        <v>0.4</v>
      </c>
      <c r="R165" s="66">
        <v>138297</v>
      </c>
      <c r="S165" s="55">
        <v>484039.52618000004</v>
      </c>
      <c r="T165" s="106">
        <f>IF(A165="Upgrade",IF(OR(H165=4,H165=5),_xlfn.XLOOKUP(I165,'Renewal Rates'!$A$22:$A$27,'Renewal Rates'!$B$22:$B$27,'Renewal Rates'!$B$27,0),'Renewal Rates'!$F$7),IF(A165="Renewal",100%,0%))</f>
        <v>0</v>
      </c>
      <c r="U165" s="68">
        <f t="shared" si="2"/>
        <v>0</v>
      </c>
      <c r="V165" s="68"/>
    </row>
    <row r="166" spans="1:22" ht="14.4" x14ac:dyDescent="0.3">
      <c r="A166" s="1" t="s">
        <v>25</v>
      </c>
      <c r="B166" s="45">
        <v>2.0489999999999999</v>
      </c>
      <c r="C166" s="62"/>
      <c r="D166" s="98">
        <v>112.88308600000001</v>
      </c>
      <c r="E166" s="98"/>
      <c r="F166" s="63"/>
      <c r="G166" s="64">
        <v>525</v>
      </c>
      <c r="H166" s="63"/>
      <c r="I166" s="45" t="s">
        <v>122</v>
      </c>
      <c r="J166" s="1">
        <v>385</v>
      </c>
      <c r="K166" s="65" t="s">
        <v>23</v>
      </c>
      <c r="L166" s="65" t="s">
        <v>24</v>
      </c>
      <c r="M166" s="66">
        <v>335713</v>
      </c>
      <c r="N166" s="66">
        <v>2974</v>
      </c>
      <c r="O166" s="66">
        <v>114143</v>
      </c>
      <c r="P166" s="66">
        <v>449856</v>
      </c>
      <c r="Q166" s="67">
        <v>0.4</v>
      </c>
      <c r="R166" s="66">
        <v>179942</v>
      </c>
      <c r="S166" s="55">
        <v>629798.5</v>
      </c>
      <c r="T166" s="106">
        <f>IF(A166="Upgrade",IF(OR(H166=4,H166=5),_xlfn.XLOOKUP(I166,'Renewal Rates'!$A$22:$A$27,'Renewal Rates'!$B$22:$B$27,'Renewal Rates'!$B$27,0),'Renewal Rates'!$F$7),IF(A166="Renewal",100%,0%))</f>
        <v>0</v>
      </c>
      <c r="U166" s="68">
        <f t="shared" si="2"/>
        <v>0</v>
      </c>
      <c r="V166" s="68"/>
    </row>
    <row r="167" spans="1:22" ht="14.4" x14ac:dyDescent="0.3">
      <c r="A167" s="1" t="s">
        <v>25</v>
      </c>
      <c r="B167" s="45">
        <v>2.0470000000000002</v>
      </c>
      <c r="C167" s="62"/>
      <c r="D167" s="98">
        <v>65.523178000000001</v>
      </c>
      <c r="E167" s="98"/>
      <c r="F167" s="63"/>
      <c r="G167" s="64">
        <v>525</v>
      </c>
      <c r="H167" s="63"/>
      <c r="I167" s="45" t="s">
        <v>122</v>
      </c>
      <c r="J167" s="1">
        <v>385</v>
      </c>
      <c r="K167" s="65" t="s">
        <v>23</v>
      </c>
      <c r="L167" s="65" t="s">
        <v>24</v>
      </c>
      <c r="M167" s="66">
        <v>217185</v>
      </c>
      <c r="N167" s="66">
        <v>3315</v>
      </c>
      <c r="O167" s="66">
        <v>73843</v>
      </c>
      <c r="P167" s="66">
        <v>291028</v>
      </c>
      <c r="Q167" s="67">
        <v>0.4</v>
      </c>
      <c r="R167" s="66">
        <v>116411</v>
      </c>
      <c r="S167" s="55">
        <v>407439.3</v>
      </c>
      <c r="T167" s="106">
        <f>IF(A167="Upgrade",IF(OR(H167=4,H167=5),_xlfn.XLOOKUP(I167,'Renewal Rates'!$A$22:$A$27,'Renewal Rates'!$B$22:$B$27,'Renewal Rates'!$B$27,0),'Renewal Rates'!$F$7),IF(A167="Renewal",100%,0%))</f>
        <v>0</v>
      </c>
      <c r="U167" s="68">
        <f t="shared" si="2"/>
        <v>0</v>
      </c>
      <c r="V167" s="68"/>
    </row>
    <row r="168" spans="1:22" ht="14.4" x14ac:dyDescent="0.3">
      <c r="A168" s="1" t="s">
        <v>25</v>
      </c>
      <c r="B168" s="45">
        <v>2.0139999999999998</v>
      </c>
      <c r="C168" s="62"/>
      <c r="D168" s="98">
        <v>171.08347599999999</v>
      </c>
      <c r="E168" s="98"/>
      <c r="F168" s="63"/>
      <c r="G168" s="64">
        <v>675</v>
      </c>
      <c r="H168" s="63"/>
      <c r="I168" s="45" t="s">
        <v>122</v>
      </c>
      <c r="J168" s="1">
        <v>385</v>
      </c>
      <c r="K168" s="65" t="s">
        <v>23</v>
      </c>
      <c r="L168" s="65" t="s">
        <v>24</v>
      </c>
      <c r="M168" s="66">
        <v>540245</v>
      </c>
      <c r="N168" s="66">
        <v>3158</v>
      </c>
      <c r="O168" s="66">
        <v>183683</v>
      </c>
      <c r="P168" s="66">
        <v>723928</v>
      </c>
      <c r="Q168" s="67">
        <v>0.4</v>
      </c>
      <c r="R168" s="66">
        <v>289571</v>
      </c>
      <c r="S168" s="55">
        <v>1013498.75</v>
      </c>
      <c r="T168" s="106">
        <f>IF(A168="Upgrade",IF(OR(H168=4,H168=5),_xlfn.XLOOKUP(I168,'Renewal Rates'!$A$22:$A$27,'Renewal Rates'!$B$22:$B$27,'Renewal Rates'!$B$27,0),'Renewal Rates'!$F$7),IF(A168="Renewal",100%,0%))</f>
        <v>0</v>
      </c>
      <c r="U168" s="68">
        <f t="shared" si="2"/>
        <v>0</v>
      </c>
      <c r="V168" s="68"/>
    </row>
    <row r="169" spans="1:22" ht="14.4" x14ac:dyDescent="0.3">
      <c r="A169" s="1" t="s">
        <v>25</v>
      </c>
      <c r="B169" s="45">
        <v>2.0209999999999999</v>
      </c>
      <c r="C169" s="62"/>
      <c r="D169" s="98">
        <v>85.112972999999997</v>
      </c>
      <c r="E169" s="98"/>
      <c r="F169" s="63"/>
      <c r="G169" s="64">
        <v>600</v>
      </c>
      <c r="H169" s="63"/>
      <c r="I169" s="45" t="s">
        <v>122</v>
      </c>
      <c r="J169" s="1">
        <v>385</v>
      </c>
      <c r="K169" s="65" t="s">
        <v>23</v>
      </c>
      <c r="L169" s="65" t="s">
        <v>24</v>
      </c>
      <c r="M169" s="66">
        <v>285953</v>
      </c>
      <c r="N169" s="66">
        <v>3360</v>
      </c>
      <c r="O169" s="66">
        <v>97224</v>
      </c>
      <c r="P169" s="66">
        <v>383177</v>
      </c>
      <c r="Q169" s="67">
        <v>0.4</v>
      </c>
      <c r="R169" s="66">
        <v>153271</v>
      </c>
      <c r="S169" s="55">
        <v>536447.51</v>
      </c>
      <c r="T169" s="106">
        <f>IF(A169="Upgrade",IF(OR(H169=4,H169=5),_xlfn.XLOOKUP(I169,'Renewal Rates'!$A$22:$A$27,'Renewal Rates'!$B$22:$B$27,'Renewal Rates'!$B$27,0),'Renewal Rates'!$F$7),IF(A169="Renewal",100%,0%))</f>
        <v>0</v>
      </c>
      <c r="U169" s="68">
        <f t="shared" si="2"/>
        <v>0</v>
      </c>
      <c r="V169" s="68"/>
    </row>
    <row r="170" spans="1:22" ht="14.4" x14ac:dyDescent="0.3">
      <c r="A170" s="1" t="s">
        <v>25</v>
      </c>
      <c r="B170" s="45">
        <v>2.04</v>
      </c>
      <c r="C170" s="62"/>
      <c r="D170" s="98">
        <v>184.753252</v>
      </c>
      <c r="E170" s="98"/>
      <c r="F170" s="63"/>
      <c r="G170" s="64">
        <v>750</v>
      </c>
      <c r="H170" s="63"/>
      <c r="I170" s="45" t="s">
        <v>122</v>
      </c>
      <c r="J170" s="1">
        <v>385</v>
      </c>
      <c r="K170" s="65" t="s">
        <v>23</v>
      </c>
      <c r="L170" s="65" t="s">
        <v>24</v>
      </c>
      <c r="M170" s="66">
        <v>743551</v>
      </c>
      <c r="N170" s="66">
        <v>4025</v>
      </c>
      <c r="O170" s="66">
        <v>252807</v>
      </c>
      <c r="P170" s="66">
        <v>996359</v>
      </c>
      <c r="Q170" s="67">
        <v>0.4</v>
      </c>
      <c r="R170" s="66">
        <v>398543</v>
      </c>
      <c r="S170" s="55">
        <v>1394901.95</v>
      </c>
      <c r="T170" s="106">
        <f>IF(A170="Upgrade",IF(OR(H170=4,H170=5),_xlfn.XLOOKUP(I170,'Renewal Rates'!$A$22:$A$27,'Renewal Rates'!$B$22:$B$27,'Renewal Rates'!$B$27,0),'Renewal Rates'!$F$7),IF(A170="Renewal",100%,0%))</f>
        <v>0</v>
      </c>
      <c r="U170" s="68">
        <f t="shared" si="2"/>
        <v>0</v>
      </c>
      <c r="V170" s="68"/>
    </row>
    <row r="171" spans="1:22" ht="14.4" x14ac:dyDescent="0.3">
      <c r="A171" s="1" t="s">
        <v>25</v>
      </c>
      <c r="B171" s="45">
        <v>2.0099999999999998</v>
      </c>
      <c r="C171" s="62"/>
      <c r="D171" s="98">
        <v>79.522585000000007</v>
      </c>
      <c r="E171" s="98"/>
      <c r="F171" s="63"/>
      <c r="G171" s="64">
        <v>375</v>
      </c>
      <c r="H171" s="63"/>
      <c r="I171" s="45" t="s">
        <v>122</v>
      </c>
      <c r="J171" s="1">
        <v>385</v>
      </c>
      <c r="K171" s="65" t="s">
        <v>23</v>
      </c>
      <c r="L171" s="65" t="s">
        <v>24</v>
      </c>
      <c r="M171" s="66">
        <v>163945</v>
      </c>
      <c r="N171" s="66">
        <v>2062</v>
      </c>
      <c r="O171" s="66">
        <v>55741</v>
      </c>
      <c r="P171" s="66">
        <v>219686</v>
      </c>
      <c r="Q171" s="67">
        <v>0.4</v>
      </c>
      <c r="R171" s="66">
        <v>87874</v>
      </c>
      <c r="S171" s="55">
        <v>307560.37</v>
      </c>
      <c r="T171" s="106">
        <f>IF(A171="Upgrade",IF(OR(H171=4,H171=5),_xlfn.XLOOKUP(I171,'Renewal Rates'!$A$22:$A$27,'Renewal Rates'!$B$22:$B$27,'Renewal Rates'!$B$27,0),'Renewal Rates'!$F$7),IF(A171="Renewal",100%,0%))</f>
        <v>0</v>
      </c>
      <c r="U171" s="68">
        <f t="shared" si="2"/>
        <v>0</v>
      </c>
      <c r="V171" s="68"/>
    </row>
    <row r="172" spans="1:22" ht="14.4" x14ac:dyDescent="0.3">
      <c r="A172" s="1" t="s">
        <v>25</v>
      </c>
      <c r="B172" s="45">
        <v>2.0169999999999999</v>
      </c>
      <c r="C172" s="62"/>
      <c r="D172" s="98">
        <v>142.30039099999999</v>
      </c>
      <c r="E172" s="98"/>
      <c r="F172" s="63"/>
      <c r="G172" s="64">
        <v>525</v>
      </c>
      <c r="H172" s="63"/>
      <c r="I172" s="45" t="s">
        <v>122</v>
      </c>
      <c r="J172" s="1">
        <v>385</v>
      </c>
      <c r="K172" s="65" t="s">
        <v>23</v>
      </c>
      <c r="L172" s="65" t="s">
        <v>24</v>
      </c>
      <c r="M172" s="66">
        <v>782638</v>
      </c>
      <c r="N172" s="66">
        <v>2934</v>
      </c>
      <c r="O172" s="66">
        <v>319105</v>
      </c>
      <c r="P172" s="66">
        <v>1257648</v>
      </c>
      <c r="Q172" s="67">
        <v>0.4</v>
      </c>
      <c r="R172" s="66">
        <v>503059</v>
      </c>
      <c r="S172" s="55">
        <v>1760707</v>
      </c>
      <c r="T172" s="106">
        <f>IF(A172="Upgrade",IF(OR(H172=4,H172=5),_xlfn.XLOOKUP(I172,'Renewal Rates'!$A$22:$A$27,'Renewal Rates'!$B$22:$B$27,'Renewal Rates'!$B$27,0),'Renewal Rates'!$F$7),IF(A172="Renewal",100%,0%))</f>
        <v>0</v>
      </c>
      <c r="U172" s="68">
        <f t="shared" si="2"/>
        <v>0</v>
      </c>
      <c r="V172" s="68"/>
    </row>
    <row r="173" spans="1:22" ht="14.4" x14ac:dyDescent="0.3">
      <c r="A173" s="1" t="s">
        <v>25</v>
      </c>
      <c r="B173" s="45">
        <v>2.0179999999999998</v>
      </c>
      <c r="C173" s="62"/>
      <c r="D173" s="98">
        <v>266.73193600000002</v>
      </c>
      <c r="E173" s="98"/>
      <c r="F173" s="63"/>
      <c r="G173" s="64">
        <v>750</v>
      </c>
      <c r="H173" s="63"/>
      <c r="I173" s="45" t="s">
        <v>122</v>
      </c>
      <c r="J173" s="1">
        <v>385</v>
      </c>
      <c r="K173" s="65" t="s">
        <v>23</v>
      </c>
      <c r="L173" s="65" t="s">
        <v>24</v>
      </c>
      <c r="M173" s="66">
        <v>403327</v>
      </c>
      <c r="N173" s="66">
        <v>2834</v>
      </c>
      <c r="O173" s="66">
        <v>137131</v>
      </c>
      <c r="P173" s="66">
        <v>540458</v>
      </c>
      <c r="Q173" s="67">
        <v>0.4</v>
      </c>
      <c r="R173" s="66">
        <v>216183</v>
      </c>
      <c r="S173" s="55">
        <v>756641</v>
      </c>
      <c r="T173" s="106">
        <f>IF(A173="Upgrade",IF(OR(H173=4,H173=5),_xlfn.XLOOKUP(I173,'Renewal Rates'!$A$22:$A$27,'Renewal Rates'!$B$22:$B$27,'Renewal Rates'!$B$27,0),'Renewal Rates'!$F$7),IF(A173="Renewal",100%,0%))</f>
        <v>0</v>
      </c>
      <c r="U173" s="68">
        <f t="shared" si="2"/>
        <v>0</v>
      </c>
      <c r="V173" s="68"/>
    </row>
    <row r="174" spans="1:22" ht="14.4" x14ac:dyDescent="0.3">
      <c r="A174" s="1" t="s">
        <v>25</v>
      </c>
      <c r="B174" s="45">
        <v>2.0430000000000001</v>
      </c>
      <c r="C174" s="62"/>
      <c r="D174" s="98">
        <v>92.975814999999997</v>
      </c>
      <c r="E174" s="98"/>
      <c r="F174" s="63"/>
      <c r="G174" s="64">
        <v>525</v>
      </c>
      <c r="H174" s="63"/>
      <c r="I174" s="45" t="s">
        <v>122</v>
      </c>
      <c r="J174" s="1">
        <v>385</v>
      </c>
      <c r="K174" s="65" t="s">
        <v>23</v>
      </c>
      <c r="L174" s="65" t="s">
        <v>24</v>
      </c>
      <c r="M174" s="66">
        <v>296405</v>
      </c>
      <c r="N174" s="66">
        <v>3188</v>
      </c>
      <c r="O174" s="66">
        <v>100778</v>
      </c>
      <c r="P174" s="66">
        <v>397183</v>
      </c>
      <c r="Q174" s="67">
        <v>0.4</v>
      </c>
      <c r="R174" s="66">
        <v>158873</v>
      </c>
      <c r="S174" s="55">
        <v>556056.66</v>
      </c>
      <c r="T174" s="106">
        <f>IF(A174="Upgrade",IF(OR(H174=4,H174=5),_xlfn.XLOOKUP(I174,'Renewal Rates'!$A$22:$A$27,'Renewal Rates'!$B$22:$B$27,'Renewal Rates'!$B$27,0),'Renewal Rates'!$F$7),IF(A174="Renewal",100%,0%))</f>
        <v>0</v>
      </c>
      <c r="U174" s="68">
        <f t="shared" si="2"/>
        <v>0</v>
      </c>
      <c r="V174" s="68"/>
    </row>
    <row r="175" spans="1:22" ht="14.4" x14ac:dyDescent="0.3">
      <c r="A175" s="1" t="s">
        <v>25</v>
      </c>
      <c r="B175" s="45">
        <v>2.0070000000000001</v>
      </c>
      <c r="C175" s="62"/>
      <c r="D175" s="98">
        <v>103.985342</v>
      </c>
      <c r="E175" s="98"/>
      <c r="F175" s="63"/>
      <c r="G175" s="64">
        <v>450</v>
      </c>
      <c r="H175" s="63"/>
      <c r="I175" s="45" t="s">
        <v>122</v>
      </c>
      <c r="J175" s="1">
        <v>385</v>
      </c>
      <c r="K175" s="65" t="s">
        <v>23</v>
      </c>
      <c r="L175" s="65" t="s">
        <v>24</v>
      </c>
      <c r="M175" s="66">
        <v>1656705</v>
      </c>
      <c r="N175" s="66">
        <v>4322</v>
      </c>
      <c r="O175" s="66">
        <v>563280</v>
      </c>
      <c r="P175" s="66">
        <v>2219985</v>
      </c>
      <c r="Q175" s="67">
        <v>0.4</v>
      </c>
      <c r="R175" s="66">
        <v>887994</v>
      </c>
      <c r="S175" s="55">
        <v>3107978.6</v>
      </c>
      <c r="T175" s="106">
        <f>IF(A175="Upgrade",IF(OR(H175=4,H175=5),_xlfn.XLOOKUP(I175,'Renewal Rates'!$A$22:$A$27,'Renewal Rates'!$B$22:$B$27,'Renewal Rates'!$B$27,0),'Renewal Rates'!$F$7),IF(A175="Renewal",100%,0%))</f>
        <v>0</v>
      </c>
      <c r="U175" s="68">
        <f t="shared" si="2"/>
        <v>0</v>
      </c>
      <c r="V175" s="68"/>
    </row>
    <row r="176" spans="1:22" ht="14.4" x14ac:dyDescent="0.3">
      <c r="A176" s="1" t="s">
        <v>25</v>
      </c>
      <c r="B176" s="45">
        <v>2.008</v>
      </c>
      <c r="C176" s="62"/>
      <c r="D176" s="98">
        <v>83.657049000000001</v>
      </c>
      <c r="E176" s="98"/>
      <c r="F176" s="63"/>
      <c r="G176" s="64">
        <v>600</v>
      </c>
      <c r="H176" s="63"/>
      <c r="I176" s="45" t="s">
        <v>122</v>
      </c>
      <c r="J176" s="1">
        <v>385</v>
      </c>
      <c r="K176" s="65" t="s">
        <v>23</v>
      </c>
      <c r="L176" s="65" t="s">
        <v>24</v>
      </c>
      <c r="M176" s="66">
        <v>268067</v>
      </c>
      <c r="N176" s="66">
        <v>3204</v>
      </c>
      <c r="O176" s="66">
        <v>91143</v>
      </c>
      <c r="P176" s="66">
        <v>359210</v>
      </c>
      <c r="Q176" s="67">
        <v>0.4</v>
      </c>
      <c r="R176" s="66">
        <v>143684</v>
      </c>
      <c r="S176" s="55">
        <v>502893.88</v>
      </c>
      <c r="T176" s="106">
        <f>IF(A176="Upgrade",IF(OR(H176=4,H176=5),_xlfn.XLOOKUP(I176,'Renewal Rates'!$A$22:$A$27,'Renewal Rates'!$B$22:$B$27,'Renewal Rates'!$B$27,0),'Renewal Rates'!$F$7),IF(A176="Renewal",100%,0%))</f>
        <v>0</v>
      </c>
      <c r="U176" s="68">
        <f t="shared" si="2"/>
        <v>0</v>
      </c>
      <c r="V176" s="68"/>
    </row>
    <row r="177" spans="1:22" ht="14.4" x14ac:dyDescent="0.3">
      <c r="A177" s="1" t="s">
        <v>25</v>
      </c>
      <c r="B177" s="45">
        <v>2.0369999999999999</v>
      </c>
      <c r="C177" s="62"/>
      <c r="D177" s="98">
        <v>198.985063</v>
      </c>
      <c r="E177" s="98"/>
      <c r="F177" s="63"/>
      <c r="G177" s="64">
        <v>750</v>
      </c>
      <c r="H177" s="63"/>
      <c r="I177" s="45" t="s">
        <v>122</v>
      </c>
      <c r="J177" s="1">
        <v>385</v>
      </c>
      <c r="K177" s="65" t="s">
        <v>23</v>
      </c>
      <c r="L177" s="65" t="s">
        <v>24</v>
      </c>
      <c r="M177" s="66">
        <v>782340</v>
      </c>
      <c r="N177" s="66">
        <v>3932</v>
      </c>
      <c r="O177" s="66">
        <v>265996</v>
      </c>
      <c r="P177" s="66">
        <v>1048335</v>
      </c>
      <c r="Q177" s="67">
        <v>0.4</v>
      </c>
      <c r="R177" s="66">
        <v>419334</v>
      </c>
      <c r="S177" s="55">
        <v>1467669.6</v>
      </c>
      <c r="T177" s="106">
        <f>IF(A177="Upgrade",IF(OR(H177=4,H177=5),_xlfn.XLOOKUP(I177,'Renewal Rates'!$A$22:$A$27,'Renewal Rates'!$B$22:$B$27,'Renewal Rates'!$B$27,0),'Renewal Rates'!$F$7),IF(A177="Renewal",100%,0%))</f>
        <v>0</v>
      </c>
      <c r="U177" s="68">
        <f t="shared" si="2"/>
        <v>0</v>
      </c>
      <c r="V177" s="68"/>
    </row>
    <row r="178" spans="1:22" ht="14.4" x14ac:dyDescent="0.3">
      <c r="A178" s="1" t="s">
        <v>25</v>
      </c>
      <c r="B178" s="45">
        <v>2.0049999999999999</v>
      </c>
      <c r="C178" s="62"/>
      <c r="D178" s="98">
        <v>65.311413999999999</v>
      </c>
      <c r="E178" s="98"/>
      <c r="F178" s="63"/>
      <c r="G178" s="64">
        <v>450</v>
      </c>
      <c r="H178" s="63"/>
      <c r="I178" s="45" t="s">
        <v>122</v>
      </c>
      <c r="J178" s="1">
        <v>385</v>
      </c>
      <c r="K178" s="65" t="s">
        <v>23</v>
      </c>
      <c r="L178" s="65" t="s">
        <v>24</v>
      </c>
      <c r="M178" s="66">
        <v>221646</v>
      </c>
      <c r="N178" s="66">
        <v>3138</v>
      </c>
      <c r="O178" s="66">
        <v>75360</v>
      </c>
      <c r="P178" s="66">
        <v>297006</v>
      </c>
      <c r="Q178" s="67">
        <v>0.4</v>
      </c>
      <c r="R178" s="66">
        <v>118802</v>
      </c>
      <c r="S178" s="55">
        <v>415808.17</v>
      </c>
      <c r="T178" s="106">
        <f>IF(A178="Upgrade",IF(OR(H178=4,H178=5),_xlfn.XLOOKUP(I178,'Renewal Rates'!$A$22:$A$27,'Renewal Rates'!$B$22:$B$27,'Renewal Rates'!$B$27,0),'Renewal Rates'!$F$7),IF(A178="Renewal",100%,0%))</f>
        <v>0</v>
      </c>
      <c r="U178" s="68">
        <f t="shared" si="2"/>
        <v>0</v>
      </c>
      <c r="V178" s="68"/>
    </row>
    <row r="179" spans="1:22" ht="14.4" x14ac:dyDescent="0.3">
      <c r="A179" s="1" t="s">
        <v>25</v>
      </c>
      <c r="B179" s="45">
        <v>2.0030000000000001</v>
      </c>
      <c r="C179" s="62"/>
      <c r="D179" s="98">
        <v>134.998976</v>
      </c>
      <c r="E179" s="98"/>
      <c r="F179" s="63"/>
      <c r="G179" s="64">
        <v>675</v>
      </c>
      <c r="H179" s="63"/>
      <c r="I179" s="45" t="s">
        <v>122</v>
      </c>
      <c r="J179" s="1">
        <v>386</v>
      </c>
      <c r="K179" s="65" t="s">
        <v>23</v>
      </c>
      <c r="L179" s="65" t="s">
        <v>24</v>
      </c>
      <c r="M179" s="66">
        <v>494704</v>
      </c>
      <c r="N179" s="66">
        <v>3665</v>
      </c>
      <c r="O179" s="66">
        <v>168199</v>
      </c>
      <c r="P179" s="66">
        <v>662903</v>
      </c>
      <c r="Q179" s="67">
        <v>0.4</v>
      </c>
      <c r="R179" s="66">
        <v>265161</v>
      </c>
      <c r="S179" s="55">
        <v>928063.76</v>
      </c>
      <c r="T179" s="106">
        <f>IF(A179="Upgrade",IF(OR(H179=4,H179=5),_xlfn.XLOOKUP(I179,'Renewal Rates'!$A$22:$A$27,'Renewal Rates'!$B$22:$B$27,'Renewal Rates'!$B$27,0),'Renewal Rates'!$F$7),IF(A179="Renewal",100%,0%))</f>
        <v>0</v>
      </c>
      <c r="U179" s="68">
        <f t="shared" si="2"/>
        <v>0</v>
      </c>
      <c r="V179" s="68"/>
    </row>
    <row r="180" spans="1:22" ht="14.4" x14ac:dyDescent="0.3">
      <c r="A180" s="1" t="s">
        <v>25</v>
      </c>
      <c r="B180" s="45">
        <v>2.004</v>
      </c>
      <c r="C180" s="62"/>
      <c r="D180" s="98">
        <v>107.764413</v>
      </c>
      <c r="E180" s="98"/>
      <c r="F180" s="63"/>
      <c r="G180" s="64">
        <v>525</v>
      </c>
      <c r="H180" s="63"/>
      <c r="I180" s="45" t="s">
        <v>122</v>
      </c>
      <c r="J180" s="1">
        <v>386</v>
      </c>
      <c r="K180" s="65" t="s">
        <v>23</v>
      </c>
      <c r="L180" s="65" t="s">
        <v>24</v>
      </c>
      <c r="M180" s="66">
        <v>646985</v>
      </c>
      <c r="N180" s="66">
        <v>5262</v>
      </c>
      <c r="O180" s="66">
        <v>219975</v>
      </c>
      <c r="P180" s="66">
        <v>866960</v>
      </c>
      <c r="Q180" s="67">
        <v>0.4</v>
      </c>
      <c r="R180" s="66">
        <v>346784</v>
      </c>
      <c r="S180" s="55">
        <v>1213744.67</v>
      </c>
      <c r="T180" s="106">
        <f>IF(A180="Upgrade",IF(OR(H180=4,H180=5),_xlfn.XLOOKUP(I180,'Renewal Rates'!$A$22:$A$27,'Renewal Rates'!$B$22:$B$27,'Renewal Rates'!$B$27,0),'Renewal Rates'!$F$7),IF(A180="Renewal",100%,0%))</f>
        <v>0</v>
      </c>
      <c r="U180" s="68">
        <f t="shared" si="2"/>
        <v>0</v>
      </c>
      <c r="V180" s="68"/>
    </row>
    <row r="181" spans="1:22" ht="14.4" x14ac:dyDescent="0.3">
      <c r="A181" s="1" t="s">
        <v>25</v>
      </c>
      <c r="B181" s="45">
        <v>2.0459999999999998</v>
      </c>
      <c r="C181" s="62"/>
      <c r="D181" s="98">
        <v>207.055655</v>
      </c>
      <c r="E181" s="98"/>
      <c r="F181" s="63"/>
      <c r="G181" s="64">
        <v>600</v>
      </c>
      <c r="H181" s="63"/>
      <c r="I181" s="45" t="s">
        <v>122</v>
      </c>
      <c r="J181" s="1">
        <v>386</v>
      </c>
      <c r="K181" s="65" t="s">
        <v>23</v>
      </c>
      <c r="L181" s="65" t="s">
        <v>24</v>
      </c>
      <c r="M181" s="66">
        <v>661660</v>
      </c>
      <c r="N181" s="66">
        <v>3196</v>
      </c>
      <c r="O181" s="66">
        <v>224964</v>
      </c>
      <c r="P181" s="66">
        <v>886625</v>
      </c>
      <c r="Q181" s="67">
        <v>0.4</v>
      </c>
      <c r="R181" s="66">
        <v>354650</v>
      </c>
      <c r="S181" s="55">
        <v>1241274.52</v>
      </c>
      <c r="T181" s="106">
        <f>IF(A181="Upgrade",IF(OR(H181=4,H181=5),_xlfn.XLOOKUP(I181,'Renewal Rates'!$A$22:$A$27,'Renewal Rates'!$B$22:$B$27,'Renewal Rates'!$B$27,0),'Renewal Rates'!$F$7),IF(A181="Renewal",100%,0%))</f>
        <v>0</v>
      </c>
      <c r="U181" s="68">
        <f t="shared" si="2"/>
        <v>0</v>
      </c>
      <c r="V181" s="68"/>
    </row>
    <row r="182" spans="1:22" ht="14.4" x14ac:dyDescent="0.3">
      <c r="A182" s="1" t="s">
        <v>25</v>
      </c>
      <c r="B182" s="45">
        <v>2.0510000000000002</v>
      </c>
      <c r="C182" s="62"/>
      <c r="D182" s="98">
        <v>108.84016699999999</v>
      </c>
      <c r="E182" s="98"/>
      <c r="F182" s="63"/>
      <c r="G182" s="64">
        <v>525</v>
      </c>
      <c r="H182" s="63"/>
      <c r="I182" s="45" t="s">
        <v>122</v>
      </c>
      <c r="J182" s="1">
        <v>386</v>
      </c>
      <c r="K182" s="65" t="s">
        <v>23</v>
      </c>
      <c r="L182" s="65" t="s">
        <v>24</v>
      </c>
      <c r="M182" s="66">
        <v>332184</v>
      </c>
      <c r="N182" s="66">
        <v>3052</v>
      </c>
      <c r="O182" s="66">
        <v>112943</v>
      </c>
      <c r="P182" s="66">
        <v>445127</v>
      </c>
      <c r="Q182" s="67">
        <v>0.4</v>
      </c>
      <c r="R182" s="66">
        <v>178051</v>
      </c>
      <c r="S182" s="55">
        <v>623177.5</v>
      </c>
      <c r="T182" s="106">
        <f>IF(A182="Upgrade",IF(OR(H182=4,H182=5),_xlfn.XLOOKUP(I182,'Renewal Rates'!$A$22:$A$27,'Renewal Rates'!$B$22:$B$27,'Renewal Rates'!$B$27,0),'Renewal Rates'!$F$7),IF(A182="Renewal",100%,0%))</f>
        <v>0</v>
      </c>
      <c r="U182" s="68">
        <f t="shared" si="2"/>
        <v>0</v>
      </c>
      <c r="V182" s="68"/>
    </row>
    <row r="183" spans="1:22" ht="14.4" x14ac:dyDescent="0.3">
      <c r="A183" s="1" t="s">
        <v>25</v>
      </c>
      <c r="B183" s="45">
        <v>2.036</v>
      </c>
      <c r="C183" s="62"/>
      <c r="D183" s="98">
        <v>130.87232499999999</v>
      </c>
      <c r="E183" s="98"/>
      <c r="F183" s="63"/>
      <c r="G183" s="64">
        <v>750</v>
      </c>
      <c r="H183" s="63"/>
      <c r="I183" s="45" t="s">
        <v>122</v>
      </c>
      <c r="J183" s="1">
        <v>386</v>
      </c>
      <c r="K183" s="65" t="s">
        <v>23</v>
      </c>
      <c r="L183" s="65" t="s">
        <v>24</v>
      </c>
      <c r="M183" s="66">
        <v>552570</v>
      </c>
      <c r="N183" s="66">
        <v>4222</v>
      </c>
      <c r="O183" s="66">
        <v>187874</v>
      </c>
      <c r="P183" s="66">
        <v>740444</v>
      </c>
      <c r="Q183" s="67">
        <v>0.4</v>
      </c>
      <c r="R183" s="66">
        <v>296178</v>
      </c>
      <c r="S183" s="55">
        <v>1036621.4</v>
      </c>
      <c r="T183" s="106">
        <f>IF(A183="Upgrade",IF(OR(H183=4,H183=5),_xlfn.XLOOKUP(I183,'Renewal Rates'!$A$22:$A$27,'Renewal Rates'!$B$22:$B$27,'Renewal Rates'!$B$27,0),'Renewal Rates'!$F$7),IF(A183="Renewal",100%,0%))</f>
        <v>0</v>
      </c>
      <c r="U183" s="68">
        <f t="shared" si="2"/>
        <v>0</v>
      </c>
      <c r="V183" s="68"/>
    </row>
    <row r="184" spans="1:22" ht="14.4" x14ac:dyDescent="0.3">
      <c r="A184" s="1" t="s">
        <v>25</v>
      </c>
      <c r="B184" s="45">
        <v>2.0350000000000001</v>
      </c>
      <c r="C184" s="62"/>
      <c r="D184" s="98">
        <v>103.090063</v>
      </c>
      <c r="E184" s="98"/>
      <c r="F184" s="63"/>
      <c r="G184" s="64">
        <v>525</v>
      </c>
      <c r="H184" s="63"/>
      <c r="I184" s="45" t="s">
        <v>122</v>
      </c>
      <c r="J184" s="1">
        <v>386</v>
      </c>
      <c r="K184" s="65" t="s">
        <v>23</v>
      </c>
      <c r="L184" s="65" t="s">
        <v>24</v>
      </c>
      <c r="M184" s="66">
        <v>327165</v>
      </c>
      <c r="N184" s="66">
        <v>3174</v>
      </c>
      <c r="O184" s="66">
        <v>111236</v>
      </c>
      <c r="P184" s="66">
        <v>438400</v>
      </c>
      <c r="Q184" s="67">
        <v>0.4</v>
      </c>
      <c r="R184" s="66">
        <v>175360</v>
      </c>
      <c r="S184" s="55">
        <v>613760.67000000004</v>
      </c>
      <c r="T184" s="106">
        <f>IF(A184="Upgrade",IF(OR(H184=4,H184=5),_xlfn.XLOOKUP(I184,'Renewal Rates'!$A$22:$A$27,'Renewal Rates'!$B$22:$B$27,'Renewal Rates'!$B$27,0),'Renewal Rates'!$F$7),IF(A184="Renewal",100%,0%))</f>
        <v>0</v>
      </c>
      <c r="U184" s="68">
        <f t="shared" si="2"/>
        <v>0</v>
      </c>
      <c r="V184" s="68"/>
    </row>
    <row r="185" spans="1:22" ht="14.4" x14ac:dyDescent="0.3">
      <c r="A185" s="1" t="s">
        <v>25</v>
      </c>
      <c r="B185" s="45">
        <v>2.0059999999999998</v>
      </c>
      <c r="C185" s="62"/>
      <c r="D185" s="98">
        <v>96.654003000000003</v>
      </c>
      <c r="E185" s="98"/>
      <c r="F185" s="63"/>
      <c r="G185" s="64">
        <v>525</v>
      </c>
      <c r="H185" s="63"/>
      <c r="I185" s="45" t="s">
        <v>122</v>
      </c>
      <c r="J185" s="1">
        <v>386</v>
      </c>
      <c r="K185" s="65" t="s">
        <v>23</v>
      </c>
      <c r="L185" s="65" t="s">
        <v>24</v>
      </c>
      <c r="M185" s="66">
        <v>1227247</v>
      </c>
      <c r="N185" s="66">
        <v>3621</v>
      </c>
      <c r="O185" s="66">
        <v>417264</v>
      </c>
      <c r="P185" s="66">
        <v>1644511</v>
      </c>
      <c r="Q185" s="67">
        <v>0.4</v>
      </c>
      <c r="R185" s="66">
        <v>657805</v>
      </c>
      <c r="S185" s="55">
        <v>2302315.83</v>
      </c>
      <c r="T185" s="106">
        <f>IF(A185="Upgrade",IF(OR(H185=4,H185=5),_xlfn.XLOOKUP(I185,'Renewal Rates'!$A$22:$A$27,'Renewal Rates'!$B$22:$B$27,'Renewal Rates'!$B$27,0),'Renewal Rates'!$F$7),IF(A185="Renewal",100%,0%))</f>
        <v>0</v>
      </c>
      <c r="U185" s="68">
        <f t="shared" si="2"/>
        <v>0</v>
      </c>
      <c r="V185" s="68"/>
    </row>
    <row r="186" spans="1:22" ht="14.4" x14ac:dyDescent="0.3">
      <c r="A186" s="1" t="s">
        <v>25</v>
      </c>
      <c r="B186" s="45">
        <v>2.0550000000000002</v>
      </c>
      <c r="C186" s="62"/>
      <c r="D186" s="98">
        <v>289.19985100000002</v>
      </c>
      <c r="E186" s="98"/>
      <c r="F186" s="63"/>
      <c r="G186" s="64">
        <v>1125</v>
      </c>
      <c r="H186" s="63"/>
      <c r="I186" s="45" t="s">
        <v>122</v>
      </c>
      <c r="J186" s="1">
        <v>385</v>
      </c>
      <c r="K186" s="65" t="s">
        <v>23</v>
      </c>
      <c r="L186" s="65" t="s">
        <v>24</v>
      </c>
      <c r="M186" s="66">
        <v>1932089</v>
      </c>
      <c r="N186" s="66">
        <v>6681</v>
      </c>
      <c r="O186" s="66">
        <v>656910</v>
      </c>
      <c r="P186" s="66">
        <v>2588999</v>
      </c>
      <c r="Q186" s="67">
        <v>0.4</v>
      </c>
      <c r="R186" s="66">
        <v>1035600</v>
      </c>
      <c r="S186" s="55">
        <v>3624598.54</v>
      </c>
      <c r="T186" s="106">
        <f>IF(A186="Upgrade",IF(OR(H186=4,H186=5),_xlfn.XLOOKUP(I186,'Renewal Rates'!$A$22:$A$27,'Renewal Rates'!$B$22:$B$27,'Renewal Rates'!$B$27,0),'Renewal Rates'!$F$7),IF(A186="Renewal",100%,0%))</f>
        <v>0</v>
      </c>
      <c r="U186" s="68">
        <f t="shared" si="2"/>
        <v>0</v>
      </c>
      <c r="V186" s="68"/>
    </row>
    <row r="187" spans="1:22" ht="14.4" x14ac:dyDescent="0.3">
      <c r="A187" s="1" t="s">
        <v>25</v>
      </c>
      <c r="B187" s="45">
        <v>2.056</v>
      </c>
      <c r="C187" s="62"/>
      <c r="D187" s="98">
        <v>66.802447999999998</v>
      </c>
      <c r="E187" s="98"/>
      <c r="F187" s="63"/>
      <c r="G187" s="64">
        <v>375</v>
      </c>
      <c r="H187" s="63"/>
      <c r="I187" s="45" t="s">
        <v>122</v>
      </c>
      <c r="J187" s="1">
        <v>385</v>
      </c>
      <c r="K187" s="65" t="s">
        <v>23</v>
      </c>
      <c r="L187" s="65" t="s">
        <v>24</v>
      </c>
      <c r="M187" s="66">
        <v>156904</v>
      </c>
      <c r="N187" s="66">
        <v>2349</v>
      </c>
      <c r="O187" s="66">
        <v>53347</v>
      </c>
      <c r="P187" s="66">
        <v>210252</v>
      </c>
      <c r="Q187" s="67">
        <v>0.4</v>
      </c>
      <c r="R187" s="66">
        <v>84101</v>
      </c>
      <c r="S187" s="55">
        <v>294352.52</v>
      </c>
      <c r="T187" s="106">
        <f>IF(A187="Upgrade",IF(OR(H187=4,H187=5),_xlfn.XLOOKUP(I187,'Renewal Rates'!$A$22:$A$27,'Renewal Rates'!$B$22:$B$27,'Renewal Rates'!$B$27,0),'Renewal Rates'!$F$7),IF(A187="Renewal",100%,0%))</f>
        <v>0</v>
      </c>
      <c r="U187" s="68">
        <f t="shared" si="2"/>
        <v>0</v>
      </c>
      <c r="V187" s="68"/>
    </row>
    <row r="188" spans="1:22" ht="14.4" x14ac:dyDescent="0.3">
      <c r="A188" s="1" t="s">
        <v>25</v>
      </c>
      <c r="B188" s="45">
        <v>2.052</v>
      </c>
      <c r="C188" s="62"/>
      <c r="D188" s="98">
        <v>166.446426</v>
      </c>
      <c r="E188" s="98"/>
      <c r="F188" s="63"/>
      <c r="G188" s="64">
        <v>750</v>
      </c>
      <c r="H188" s="63"/>
      <c r="I188" s="45" t="s">
        <v>122</v>
      </c>
      <c r="J188" s="1">
        <v>386</v>
      </c>
      <c r="K188" s="65" t="s">
        <v>23</v>
      </c>
      <c r="L188" s="65" t="s">
        <v>24</v>
      </c>
      <c r="M188" s="66">
        <v>679784</v>
      </c>
      <c r="N188" s="66">
        <v>4084</v>
      </c>
      <c r="O188" s="66">
        <v>231127</v>
      </c>
      <c r="P188" s="66">
        <v>910911</v>
      </c>
      <c r="Q188" s="67">
        <v>0.4</v>
      </c>
      <c r="R188" s="66">
        <v>364364</v>
      </c>
      <c r="S188" s="55">
        <v>1275274.76</v>
      </c>
      <c r="T188" s="106">
        <f>IF(A188="Upgrade",IF(OR(H188=4,H188=5),_xlfn.XLOOKUP(I188,'Renewal Rates'!$A$22:$A$27,'Renewal Rates'!$B$22:$B$27,'Renewal Rates'!$B$27,0),'Renewal Rates'!$F$7),IF(A188="Renewal",100%,0%))</f>
        <v>0</v>
      </c>
      <c r="U188" s="68">
        <f t="shared" si="2"/>
        <v>0</v>
      </c>
      <c r="V188" s="68"/>
    </row>
    <row r="189" spans="1:22" ht="14.4" x14ac:dyDescent="0.3">
      <c r="A189" s="1" t="s">
        <v>25</v>
      </c>
      <c r="B189" s="45">
        <v>2.0569999999999999</v>
      </c>
      <c r="C189" s="62"/>
      <c r="D189" s="98">
        <v>36.308211</v>
      </c>
      <c r="E189" s="98"/>
      <c r="F189" s="63"/>
      <c r="G189" s="64">
        <v>375</v>
      </c>
      <c r="H189" s="63"/>
      <c r="I189" s="45" t="s">
        <v>122</v>
      </c>
      <c r="J189" s="1">
        <v>385</v>
      </c>
      <c r="K189" s="65" t="s">
        <v>23</v>
      </c>
      <c r="L189" s="65" t="s">
        <v>24</v>
      </c>
      <c r="M189" s="66">
        <v>90964</v>
      </c>
      <c r="N189" s="66">
        <v>2505</v>
      </c>
      <c r="O189" s="66">
        <v>30928</v>
      </c>
      <c r="P189" s="66">
        <v>121891</v>
      </c>
      <c r="Q189" s="67">
        <v>0.4</v>
      </c>
      <c r="R189" s="66">
        <v>48756</v>
      </c>
      <c r="S189" s="55">
        <v>170647.7</v>
      </c>
      <c r="T189" s="106">
        <f>IF(A189="Upgrade",IF(OR(H189=4,H189=5),_xlfn.XLOOKUP(I189,'Renewal Rates'!$A$22:$A$27,'Renewal Rates'!$B$22:$B$27,'Renewal Rates'!$B$27,0),'Renewal Rates'!$F$7),IF(A189="Renewal",100%,0%))</f>
        <v>0</v>
      </c>
      <c r="U189" s="68">
        <f t="shared" si="2"/>
        <v>0</v>
      </c>
      <c r="V189" s="68"/>
    </row>
    <row r="190" spans="1:22" ht="14.4" x14ac:dyDescent="0.3">
      <c r="A190" s="1" t="s">
        <v>25</v>
      </c>
      <c r="B190" s="45">
        <v>4.0010000000000003</v>
      </c>
      <c r="C190" s="62"/>
      <c r="D190" s="98">
        <v>66.879165</v>
      </c>
      <c r="E190" s="98"/>
      <c r="F190" s="63"/>
      <c r="G190" s="64">
        <v>300</v>
      </c>
      <c r="H190" s="63"/>
      <c r="I190" s="45" t="s">
        <v>122</v>
      </c>
      <c r="J190" s="1">
        <v>386</v>
      </c>
      <c r="K190" s="65" t="s">
        <v>23</v>
      </c>
      <c r="L190" s="65" t="s">
        <v>24</v>
      </c>
      <c r="M190" s="66">
        <v>781296</v>
      </c>
      <c r="N190" s="66">
        <v>4387</v>
      </c>
      <c r="O190" s="66">
        <v>265641</v>
      </c>
      <c r="P190" s="66">
        <v>1046937</v>
      </c>
      <c r="Q190" s="67">
        <v>0.4</v>
      </c>
      <c r="R190" s="66">
        <v>418775</v>
      </c>
      <c r="S190" s="55">
        <v>1465711.23</v>
      </c>
      <c r="T190" s="106">
        <f>IF(A190="Upgrade",IF(OR(H190=4,H190=5),_xlfn.XLOOKUP(I190,'Renewal Rates'!$A$22:$A$27,'Renewal Rates'!$B$22:$B$27,'Renewal Rates'!$B$27,0),'Renewal Rates'!$F$7),IF(A190="Renewal",100%,0%))</f>
        <v>0</v>
      </c>
      <c r="U190" s="68">
        <f t="shared" si="2"/>
        <v>0</v>
      </c>
      <c r="V190" s="68"/>
    </row>
    <row r="191" spans="1:22" ht="14.4" x14ac:dyDescent="0.3">
      <c r="A191" s="1" t="s">
        <v>25</v>
      </c>
      <c r="B191" s="45">
        <v>3.0310000000000001</v>
      </c>
      <c r="C191" s="62"/>
      <c r="D191" s="98">
        <v>99.118774000000002</v>
      </c>
      <c r="E191" s="98"/>
      <c r="F191" s="63"/>
      <c r="G191" s="64">
        <v>525</v>
      </c>
      <c r="H191" s="63"/>
      <c r="I191" s="45" t="s">
        <v>122</v>
      </c>
      <c r="J191" s="1">
        <v>385</v>
      </c>
      <c r="K191" s="65" t="s">
        <v>23</v>
      </c>
      <c r="L191" s="65" t="s">
        <v>24</v>
      </c>
      <c r="M191" s="66">
        <v>285388</v>
      </c>
      <c r="N191" s="66">
        <v>2879</v>
      </c>
      <c r="O191" s="66">
        <v>97032</v>
      </c>
      <c r="P191" s="66">
        <v>382420</v>
      </c>
      <c r="Q191" s="67">
        <v>0.4</v>
      </c>
      <c r="R191" s="66">
        <v>152968</v>
      </c>
      <c r="S191" s="55">
        <v>535387.98</v>
      </c>
      <c r="T191" s="106">
        <f>IF(A191="Upgrade",IF(OR(H191=4,H191=5),_xlfn.XLOOKUP(I191,'Renewal Rates'!$A$22:$A$27,'Renewal Rates'!$B$22:$B$27,'Renewal Rates'!$B$27,0),'Renewal Rates'!$F$7),IF(A191="Renewal",100%,0%))</f>
        <v>0</v>
      </c>
      <c r="U191" s="68">
        <f t="shared" si="2"/>
        <v>0</v>
      </c>
      <c r="V191" s="68"/>
    </row>
    <row r="192" spans="1:22" ht="14.4" x14ac:dyDescent="0.3">
      <c r="A192" s="1" t="s">
        <v>25</v>
      </c>
      <c r="B192" s="45">
        <v>3.0339999999999998</v>
      </c>
      <c r="C192" s="62"/>
      <c r="D192" s="98">
        <v>72.519632999999999</v>
      </c>
      <c r="E192" s="98"/>
      <c r="F192" s="63"/>
      <c r="G192" s="64">
        <v>375</v>
      </c>
      <c r="H192" s="63"/>
      <c r="I192" s="45" t="s">
        <v>122</v>
      </c>
      <c r="J192" s="1">
        <v>387</v>
      </c>
      <c r="K192" s="65" t="s">
        <v>23</v>
      </c>
      <c r="L192" s="65" t="s">
        <v>24</v>
      </c>
      <c r="M192" s="66">
        <v>160069</v>
      </c>
      <c r="N192" s="66">
        <v>2207</v>
      </c>
      <c r="O192" s="66">
        <v>54423</v>
      </c>
      <c r="P192" s="66">
        <v>214492</v>
      </c>
      <c r="Q192" s="67">
        <v>0.4</v>
      </c>
      <c r="R192" s="66">
        <v>85797</v>
      </c>
      <c r="S192" s="55">
        <v>300288.90999999997</v>
      </c>
      <c r="T192" s="106">
        <f>IF(A192="Upgrade",IF(OR(H192=4,H192=5),_xlfn.XLOOKUP(I192,'Renewal Rates'!$A$22:$A$27,'Renewal Rates'!$B$22:$B$27,'Renewal Rates'!$B$27,0),'Renewal Rates'!$F$7),IF(A192="Renewal",100%,0%))</f>
        <v>0</v>
      </c>
      <c r="U192" s="68">
        <f t="shared" si="2"/>
        <v>0</v>
      </c>
      <c r="V192" s="68"/>
    </row>
    <row r="193" spans="1:22" ht="14.4" x14ac:dyDescent="0.3">
      <c r="A193" s="1" t="s">
        <v>25</v>
      </c>
      <c r="B193" s="45">
        <v>3.024</v>
      </c>
      <c r="C193" s="62"/>
      <c r="D193" s="98">
        <v>146.19605200000001</v>
      </c>
      <c r="E193" s="98"/>
      <c r="F193" s="63"/>
      <c r="G193" s="64">
        <v>525</v>
      </c>
      <c r="H193" s="63"/>
      <c r="I193" s="45" t="s">
        <v>122</v>
      </c>
      <c r="J193" s="1">
        <v>385</v>
      </c>
      <c r="K193" s="65" t="s">
        <v>23</v>
      </c>
      <c r="L193" s="65" t="s">
        <v>24</v>
      </c>
      <c r="M193" s="66">
        <v>423107</v>
      </c>
      <c r="N193" s="66">
        <v>2894</v>
      </c>
      <c r="O193" s="66">
        <v>143856</v>
      </c>
      <c r="P193" s="66">
        <v>566964</v>
      </c>
      <c r="Q193" s="67">
        <v>0.4</v>
      </c>
      <c r="R193" s="66">
        <v>226786</v>
      </c>
      <c r="S193" s="55">
        <v>793749.26</v>
      </c>
      <c r="T193" s="106">
        <f>IF(A193="Upgrade",IF(OR(H193=4,H193=5),_xlfn.XLOOKUP(I193,'Renewal Rates'!$A$22:$A$27,'Renewal Rates'!$B$22:$B$27,'Renewal Rates'!$B$27,0),'Renewal Rates'!$F$7),IF(A193="Renewal",100%,0%))</f>
        <v>0</v>
      </c>
      <c r="U193" s="68">
        <f t="shared" si="2"/>
        <v>0</v>
      </c>
      <c r="V193" s="68"/>
    </row>
    <row r="194" spans="1:22" ht="14.4" x14ac:dyDescent="0.3">
      <c r="A194" s="1" t="s">
        <v>25</v>
      </c>
      <c r="B194" s="45">
        <v>3.0329999999999999</v>
      </c>
      <c r="C194" s="62"/>
      <c r="D194" s="98">
        <v>68.457249000000004</v>
      </c>
      <c r="E194" s="98"/>
      <c r="F194" s="63"/>
      <c r="G194" s="64">
        <v>525</v>
      </c>
      <c r="H194" s="63"/>
      <c r="I194" s="45" t="s">
        <v>122</v>
      </c>
      <c r="J194" s="1">
        <v>387</v>
      </c>
      <c r="K194" s="65" t="s">
        <v>23</v>
      </c>
      <c r="L194" s="65" t="s">
        <v>24</v>
      </c>
      <c r="M194" s="66">
        <v>236126</v>
      </c>
      <c r="N194" s="66">
        <v>3449</v>
      </c>
      <c r="O194" s="66">
        <v>80283</v>
      </c>
      <c r="P194" s="66">
        <v>316409</v>
      </c>
      <c r="Q194" s="67">
        <v>0.4</v>
      </c>
      <c r="R194" s="66">
        <v>126564</v>
      </c>
      <c r="S194" s="55">
        <v>442973.25</v>
      </c>
      <c r="T194" s="106">
        <f>IF(A194="Upgrade",IF(OR(H194=4,H194=5),_xlfn.XLOOKUP(I194,'Renewal Rates'!$A$22:$A$27,'Renewal Rates'!$B$22:$B$27,'Renewal Rates'!$B$27,0),'Renewal Rates'!$F$7),IF(A194="Renewal",100%,0%))</f>
        <v>0</v>
      </c>
      <c r="U194" s="68">
        <f t="shared" si="2"/>
        <v>0</v>
      </c>
      <c r="V194" s="68"/>
    </row>
    <row r="195" spans="1:22" ht="14.4" x14ac:dyDescent="0.3">
      <c r="A195" s="1" t="s">
        <v>25</v>
      </c>
      <c r="B195" s="45">
        <v>3.0350000000000001</v>
      </c>
      <c r="C195" s="62"/>
      <c r="D195" s="98">
        <v>62.068477999999999</v>
      </c>
      <c r="E195" s="98"/>
      <c r="F195" s="63"/>
      <c r="G195" s="64">
        <v>450</v>
      </c>
      <c r="H195" s="63"/>
      <c r="I195" s="45" t="s">
        <v>122</v>
      </c>
      <c r="J195" s="1">
        <v>387</v>
      </c>
      <c r="K195" s="65" t="s">
        <v>23</v>
      </c>
      <c r="L195" s="65" t="s">
        <v>24</v>
      </c>
      <c r="M195" s="66">
        <v>185719</v>
      </c>
      <c r="N195" s="66">
        <v>2992</v>
      </c>
      <c r="O195" s="66">
        <v>63144</v>
      </c>
      <c r="P195" s="66">
        <v>248863</v>
      </c>
      <c r="Q195" s="67">
        <v>0.4</v>
      </c>
      <c r="R195" s="66">
        <v>99545</v>
      </c>
      <c r="S195" s="55">
        <v>348407.91</v>
      </c>
      <c r="T195" s="106">
        <f>IF(A195="Upgrade",IF(OR(H195=4,H195=5),_xlfn.XLOOKUP(I195,'Renewal Rates'!$A$22:$A$27,'Renewal Rates'!$B$22:$B$27,'Renewal Rates'!$B$27,0),'Renewal Rates'!$F$7),IF(A195="Renewal",100%,0%))</f>
        <v>0</v>
      </c>
      <c r="U195" s="68">
        <f t="shared" si="2"/>
        <v>0</v>
      </c>
      <c r="V195" s="68"/>
    </row>
    <row r="196" spans="1:22" ht="14.4" x14ac:dyDescent="0.3">
      <c r="A196" s="1" t="s">
        <v>25</v>
      </c>
      <c r="B196" s="45">
        <v>3.032</v>
      </c>
      <c r="C196" s="62"/>
      <c r="D196" s="98">
        <v>98.839423999999994</v>
      </c>
      <c r="E196" s="98"/>
      <c r="F196" s="63"/>
      <c r="G196" s="64">
        <v>525</v>
      </c>
      <c r="H196" s="63"/>
      <c r="I196" s="45" t="s">
        <v>122</v>
      </c>
      <c r="J196" s="1">
        <v>387</v>
      </c>
      <c r="K196" s="65" t="s">
        <v>23</v>
      </c>
      <c r="L196" s="65" t="s">
        <v>24</v>
      </c>
      <c r="M196" s="66">
        <v>285144</v>
      </c>
      <c r="N196" s="66">
        <v>2885</v>
      </c>
      <c r="O196" s="66">
        <v>96949</v>
      </c>
      <c r="P196" s="66">
        <v>382093</v>
      </c>
      <c r="Q196" s="67">
        <v>0.4</v>
      </c>
      <c r="R196" s="66">
        <v>152837</v>
      </c>
      <c r="S196" s="55">
        <v>534930.49</v>
      </c>
      <c r="T196" s="106">
        <f>IF(A196="Upgrade",IF(OR(H196=4,H196=5),_xlfn.XLOOKUP(I196,'Renewal Rates'!$A$22:$A$27,'Renewal Rates'!$B$22:$B$27,'Renewal Rates'!$B$27,0),'Renewal Rates'!$F$7),IF(A196="Renewal",100%,0%))</f>
        <v>0</v>
      </c>
      <c r="U196" s="68">
        <f t="shared" ref="U196:U259" si="3">S196*T196</f>
        <v>0</v>
      </c>
      <c r="V196" s="68"/>
    </row>
    <row r="197" spans="1:22" ht="14.4" x14ac:dyDescent="0.3">
      <c r="A197" s="1" t="s">
        <v>25</v>
      </c>
      <c r="B197" s="45">
        <v>3.0289999999999999</v>
      </c>
      <c r="C197" s="62"/>
      <c r="D197" s="98">
        <v>122.79056799999999</v>
      </c>
      <c r="E197" s="98"/>
      <c r="F197" s="63"/>
      <c r="G197" s="64">
        <v>750</v>
      </c>
      <c r="H197" s="63"/>
      <c r="I197" s="45" t="s">
        <v>122</v>
      </c>
      <c r="J197" s="1">
        <v>387</v>
      </c>
      <c r="K197" s="65" t="s">
        <v>23</v>
      </c>
      <c r="L197" s="65" t="s">
        <v>24</v>
      </c>
      <c r="M197" s="66">
        <v>498744</v>
      </c>
      <c r="N197" s="66">
        <v>4062</v>
      </c>
      <c r="O197" s="66">
        <v>169573</v>
      </c>
      <c r="P197" s="66">
        <v>668316</v>
      </c>
      <c r="Q197" s="67">
        <v>0.4</v>
      </c>
      <c r="R197" s="66">
        <v>267327</v>
      </c>
      <c r="S197" s="55">
        <v>935643</v>
      </c>
      <c r="T197" s="106">
        <f>IF(A197="Upgrade",IF(OR(H197=4,H197=5),_xlfn.XLOOKUP(I197,'Renewal Rates'!$A$22:$A$27,'Renewal Rates'!$B$22:$B$27,'Renewal Rates'!$B$27,0),'Renewal Rates'!$F$7),IF(A197="Renewal",100%,0%))</f>
        <v>0</v>
      </c>
      <c r="U197" s="68">
        <f t="shared" si="3"/>
        <v>0</v>
      </c>
      <c r="V197" s="68"/>
    </row>
    <row r="198" spans="1:22" ht="14.4" x14ac:dyDescent="0.3">
      <c r="A198" s="1" t="s">
        <v>25</v>
      </c>
      <c r="B198" s="45">
        <v>3.028</v>
      </c>
      <c r="C198" s="62"/>
      <c r="D198" s="98">
        <v>78.513339000000002</v>
      </c>
      <c r="E198" s="98"/>
      <c r="F198" s="63"/>
      <c r="G198" s="64">
        <v>525</v>
      </c>
      <c r="H198" s="63"/>
      <c r="I198" s="45" t="s">
        <v>122</v>
      </c>
      <c r="J198" s="1">
        <v>387</v>
      </c>
      <c r="K198" s="65" t="s">
        <v>23</v>
      </c>
      <c r="L198" s="65" t="s">
        <v>24</v>
      </c>
      <c r="M198" s="66">
        <v>247963</v>
      </c>
      <c r="N198" s="66">
        <v>3158</v>
      </c>
      <c r="O198" s="66">
        <v>84307</v>
      </c>
      <c r="P198" s="66">
        <v>332270</v>
      </c>
      <c r="Q198" s="67">
        <v>0.4</v>
      </c>
      <c r="R198" s="66">
        <v>132908</v>
      </c>
      <c r="S198" s="55">
        <v>465177.95</v>
      </c>
      <c r="T198" s="106">
        <f>IF(A198="Upgrade",IF(OR(H198=4,H198=5),_xlfn.XLOOKUP(I198,'Renewal Rates'!$A$22:$A$27,'Renewal Rates'!$B$22:$B$27,'Renewal Rates'!$B$27,0),'Renewal Rates'!$F$7),IF(A198="Renewal",100%,0%))</f>
        <v>0</v>
      </c>
      <c r="U198" s="68">
        <f t="shared" si="3"/>
        <v>0</v>
      </c>
      <c r="V198" s="68"/>
    </row>
    <row r="199" spans="1:22" ht="14.4" x14ac:dyDescent="0.3">
      <c r="A199" s="1" t="s">
        <v>25</v>
      </c>
      <c r="B199" s="45">
        <v>3.0209999999999999</v>
      </c>
      <c r="C199" s="62"/>
      <c r="D199" s="98">
        <v>73.699310999999994</v>
      </c>
      <c r="E199" s="98"/>
      <c r="F199" s="63"/>
      <c r="G199" s="64">
        <v>525</v>
      </c>
      <c r="H199" s="63"/>
      <c r="I199" s="45" t="s">
        <v>122</v>
      </c>
      <c r="J199" s="1">
        <v>387</v>
      </c>
      <c r="K199" s="65" t="s">
        <v>23</v>
      </c>
      <c r="L199" s="65" t="s">
        <v>24</v>
      </c>
      <c r="M199" s="66">
        <v>224323</v>
      </c>
      <c r="N199" s="66">
        <v>3044</v>
      </c>
      <c r="O199" s="66">
        <v>76270</v>
      </c>
      <c r="P199" s="66">
        <v>300592</v>
      </c>
      <c r="Q199" s="67">
        <v>0.4</v>
      </c>
      <c r="R199" s="66">
        <v>120237</v>
      </c>
      <c r="S199" s="55">
        <v>420829.18</v>
      </c>
      <c r="T199" s="106">
        <f>IF(A199="Upgrade",IF(OR(H199=4,H199=5),_xlfn.XLOOKUP(I199,'Renewal Rates'!$A$22:$A$27,'Renewal Rates'!$B$22:$B$27,'Renewal Rates'!$B$27,0),'Renewal Rates'!$F$7),IF(A199="Renewal",100%,0%))</f>
        <v>0</v>
      </c>
      <c r="U199" s="68">
        <f t="shared" si="3"/>
        <v>0</v>
      </c>
      <c r="V199" s="68"/>
    </row>
    <row r="200" spans="1:22" ht="14.4" x14ac:dyDescent="0.3">
      <c r="A200" s="1" t="s">
        <v>25</v>
      </c>
      <c r="B200" s="45">
        <v>3.03</v>
      </c>
      <c r="C200" s="62"/>
      <c r="D200" s="98">
        <v>44.068922000000001</v>
      </c>
      <c r="E200" s="98"/>
      <c r="F200" s="63"/>
      <c r="G200" s="64">
        <v>375</v>
      </c>
      <c r="H200" s="63"/>
      <c r="I200" s="45" t="s">
        <v>122</v>
      </c>
      <c r="J200" s="1">
        <v>387</v>
      </c>
      <c r="K200" s="65" t="s">
        <v>23</v>
      </c>
      <c r="L200" s="65" t="s">
        <v>24</v>
      </c>
      <c r="M200" s="66">
        <v>95259</v>
      </c>
      <c r="N200" s="66">
        <v>2162</v>
      </c>
      <c r="O200" s="66">
        <v>32388</v>
      </c>
      <c r="P200" s="66">
        <v>127647</v>
      </c>
      <c r="Q200" s="67">
        <v>0.4</v>
      </c>
      <c r="R200" s="66">
        <v>51059</v>
      </c>
      <c r="S200" s="55">
        <v>178705.98</v>
      </c>
      <c r="T200" s="106">
        <f>IF(A200="Upgrade",IF(OR(H200=4,H200=5),_xlfn.XLOOKUP(I200,'Renewal Rates'!$A$22:$A$27,'Renewal Rates'!$B$22:$B$27,'Renewal Rates'!$B$27,0),'Renewal Rates'!$F$7),IF(A200="Renewal",100%,0%))</f>
        <v>0</v>
      </c>
      <c r="U200" s="68">
        <f t="shared" si="3"/>
        <v>0</v>
      </c>
      <c r="V200" s="68"/>
    </row>
    <row r="201" spans="1:22" ht="14.4" x14ac:dyDescent="0.3">
      <c r="A201" s="1" t="s">
        <v>25</v>
      </c>
      <c r="B201" s="45">
        <v>3.016</v>
      </c>
      <c r="C201" s="62"/>
      <c r="D201" s="98">
        <v>57.170746999999999</v>
      </c>
      <c r="E201" s="98"/>
      <c r="F201" s="63"/>
      <c r="G201" s="64">
        <v>375</v>
      </c>
      <c r="H201" s="63"/>
      <c r="I201" s="45" t="s">
        <v>122</v>
      </c>
      <c r="J201" s="1">
        <v>385</v>
      </c>
      <c r="K201" s="65" t="s">
        <v>23</v>
      </c>
      <c r="L201" s="65" t="s">
        <v>24</v>
      </c>
      <c r="M201" s="66">
        <v>135384</v>
      </c>
      <c r="N201" s="66">
        <v>2368</v>
      </c>
      <c r="O201" s="66">
        <v>46031</v>
      </c>
      <c r="P201" s="66">
        <v>181415</v>
      </c>
      <c r="Q201" s="67">
        <v>0.4</v>
      </c>
      <c r="R201" s="66">
        <v>72566</v>
      </c>
      <c r="S201" s="55">
        <v>253981.14</v>
      </c>
      <c r="T201" s="106">
        <f>IF(A201="Upgrade",IF(OR(H201=4,H201=5),_xlfn.XLOOKUP(I201,'Renewal Rates'!$A$22:$A$27,'Renewal Rates'!$B$22:$B$27,'Renewal Rates'!$B$27,0),'Renewal Rates'!$F$7),IF(A201="Renewal",100%,0%))</f>
        <v>0</v>
      </c>
      <c r="U201" s="68">
        <f t="shared" si="3"/>
        <v>0</v>
      </c>
      <c r="V201" s="68"/>
    </row>
    <row r="202" spans="1:22" ht="14.4" x14ac:dyDescent="0.3">
      <c r="A202" s="1" t="s">
        <v>25</v>
      </c>
      <c r="B202" s="45">
        <v>3.0579999999999998</v>
      </c>
      <c r="C202" s="62"/>
      <c r="D202" s="98">
        <v>167.04668100000001</v>
      </c>
      <c r="E202" s="98"/>
      <c r="F202" s="63"/>
      <c r="G202" s="64">
        <v>900</v>
      </c>
      <c r="H202" s="63"/>
      <c r="I202" s="45" t="s">
        <v>122</v>
      </c>
      <c r="J202" s="1">
        <v>385</v>
      </c>
      <c r="K202" s="65" t="s">
        <v>23</v>
      </c>
      <c r="L202" s="65" t="s">
        <v>24</v>
      </c>
      <c r="M202" s="66">
        <v>904536</v>
      </c>
      <c r="N202" s="66">
        <v>5415</v>
      </c>
      <c r="O202" s="66">
        <v>307542</v>
      </c>
      <c r="P202" s="66">
        <v>1212079</v>
      </c>
      <c r="Q202" s="67">
        <v>0.4</v>
      </c>
      <c r="R202" s="66">
        <v>484831</v>
      </c>
      <c r="S202" s="55">
        <v>1696910.16</v>
      </c>
      <c r="T202" s="106">
        <f>IF(A202="Upgrade",IF(OR(H202=4,H202=5),_xlfn.XLOOKUP(I202,'Renewal Rates'!$A$22:$A$27,'Renewal Rates'!$B$22:$B$27,'Renewal Rates'!$B$27,0),'Renewal Rates'!$F$7),IF(A202="Renewal",100%,0%))</f>
        <v>0</v>
      </c>
      <c r="U202" s="68">
        <f t="shared" si="3"/>
        <v>0</v>
      </c>
      <c r="V202" s="68"/>
    </row>
    <row r="203" spans="1:22" ht="14.4" x14ac:dyDescent="0.3">
      <c r="A203" s="1" t="s">
        <v>25</v>
      </c>
      <c r="B203" s="45">
        <v>3.0049999999999999</v>
      </c>
      <c r="C203" s="62"/>
      <c r="D203" s="98">
        <v>168.52208899999999</v>
      </c>
      <c r="E203" s="98"/>
      <c r="F203" s="63"/>
      <c r="G203" s="64">
        <v>675</v>
      </c>
      <c r="H203" s="63"/>
      <c r="I203" s="45" t="s">
        <v>122</v>
      </c>
      <c r="J203" s="1">
        <v>385</v>
      </c>
      <c r="K203" s="65" t="s">
        <v>23</v>
      </c>
      <c r="L203" s="65" t="s">
        <v>24</v>
      </c>
      <c r="M203" s="66">
        <v>637522</v>
      </c>
      <c r="N203" s="66">
        <v>3783</v>
      </c>
      <c r="O203" s="66">
        <v>216758</v>
      </c>
      <c r="P203" s="66">
        <v>854280</v>
      </c>
      <c r="Q203" s="67">
        <v>0.4</v>
      </c>
      <c r="R203" s="66">
        <v>341712</v>
      </c>
      <c r="S203" s="55">
        <v>1195991.8</v>
      </c>
      <c r="T203" s="106">
        <f>IF(A203="Upgrade",IF(OR(H203=4,H203=5),_xlfn.XLOOKUP(I203,'Renewal Rates'!$A$22:$A$27,'Renewal Rates'!$B$22:$B$27,'Renewal Rates'!$B$27,0),'Renewal Rates'!$F$7),IF(A203="Renewal",100%,0%))</f>
        <v>0</v>
      </c>
      <c r="U203" s="68">
        <f t="shared" si="3"/>
        <v>0</v>
      </c>
      <c r="V203" s="68"/>
    </row>
    <row r="204" spans="1:22" ht="14.4" x14ac:dyDescent="0.3">
      <c r="A204" s="1" t="s">
        <v>25</v>
      </c>
      <c r="B204" s="45">
        <v>3.0059999999999998</v>
      </c>
      <c r="C204" s="62"/>
      <c r="D204" s="98">
        <v>183.80669399999999</v>
      </c>
      <c r="E204" s="98"/>
      <c r="F204" s="63"/>
      <c r="G204" s="64">
        <v>600</v>
      </c>
      <c r="H204" s="63"/>
      <c r="I204" s="45" t="s">
        <v>122</v>
      </c>
      <c r="J204" s="1">
        <v>386</v>
      </c>
      <c r="K204" s="65" t="s">
        <v>23</v>
      </c>
      <c r="L204" s="65" t="s">
        <v>24</v>
      </c>
      <c r="M204" s="66">
        <v>580335</v>
      </c>
      <c r="N204" s="66">
        <v>3157</v>
      </c>
      <c r="O204" s="66">
        <v>197314</v>
      </c>
      <c r="P204" s="66">
        <v>777649</v>
      </c>
      <c r="Q204" s="67">
        <v>0.4</v>
      </c>
      <c r="R204" s="66">
        <v>311060</v>
      </c>
      <c r="S204" s="55">
        <v>1088708.3999999999</v>
      </c>
      <c r="T204" s="106">
        <f>IF(A204="Upgrade",IF(OR(H204=4,H204=5),_xlfn.XLOOKUP(I204,'Renewal Rates'!$A$22:$A$27,'Renewal Rates'!$B$22:$B$27,'Renewal Rates'!$B$27,0),'Renewal Rates'!$F$7),IF(A204="Renewal",100%,0%))</f>
        <v>0</v>
      </c>
      <c r="U204" s="68">
        <f t="shared" si="3"/>
        <v>0</v>
      </c>
      <c r="V204" s="68"/>
    </row>
    <row r="205" spans="1:22" ht="14.4" x14ac:dyDescent="0.3">
      <c r="A205" s="1" t="s">
        <v>25</v>
      </c>
      <c r="B205" s="45">
        <v>3.0270000000000001</v>
      </c>
      <c r="C205" s="62"/>
      <c r="D205" s="98">
        <v>33.369312000000001</v>
      </c>
      <c r="E205" s="98"/>
      <c r="F205" s="63"/>
      <c r="G205" s="64">
        <v>375</v>
      </c>
      <c r="H205" s="63"/>
      <c r="I205" s="45" t="s">
        <v>122</v>
      </c>
      <c r="J205" s="1">
        <v>387</v>
      </c>
      <c r="K205" s="65" t="s">
        <v>23</v>
      </c>
      <c r="L205" s="65" t="s">
        <v>24</v>
      </c>
      <c r="M205" s="66">
        <v>102597</v>
      </c>
      <c r="N205" s="66">
        <v>3075</v>
      </c>
      <c r="O205" s="66">
        <v>34883</v>
      </c>
      <c r="P205" s="66">
        <v>137480</v>
      </c>
      <c r="Q205" s="67">
        <v>0.4</v>
      </c>
      <c r="R205" s="66">
        <v>54992</v>
      </c>
      <c r="S205" s="55">
        <v>192471.88</v>
      </c>
      <c r="T205" s="106">
        <f>IF(A205="Upgrade",IF(OR(H205=4,H205=5),_xlfn.XLOOKUP(I205,'Renewal Rates'!$A$22:$A$27,'Renewal Rates'!$B$22:$B$27,'Renewal Rates'!$B$27,0),'Renewal Rates'!$F$7),IF(A205="Renewal",100%,0%))</f>
        <v>0</v>
      </c>
      <c r="U205" s="68">
        <f t="shared" si="3"/>
        <v>0</v>
      </c>
      <c r="V205" s="68"/>
    </row>
    <row r="206" spans="1:22" ht="14.4" x14ac:dyDescent="0.3">
      <c r="A206" s="1" t="s">
        <v>25</v>
      </c>
      <c r="B206" s="45">
        <v>3.0259999999999998</v>
      </c>
      <c r="C206" s="62"/>
      <c r="D206" s="98">
        <v>105.67940400000001</v>
      </c>
      <c r="E206" s="98"/>
      <c r="F206" s="63"/>
      <c r="G206" s="64">
        <v>525</v>
      </c>
      <c r="H206" s="63"/>
      <c r="I206" s="45" t="s">
        <v>122</v>
      </c>
      <c r="J206" s="1">
        <v>387</v>
      </c>
      <c r="K206" s="65" t="s">
        <v>23</v>
      </c>
      <c r="L206" s="65" t="s">
        <v>24</v>
      </c>
      <c r="M206" s="66">
        <v>329425</v>
      </c>
      <c r="N206" s="66">
        <v>3117</v>
      </c>
      <c r="O206" s="66">
        <v>112004</v>
      </c>
      <c r="P206" s="66">
        <v>441429</v>
      </c>
      <c r="Q206" s="67">
        <v>0.4</v>
      </c>
      <c r="R206" s="66">
        <v>176572</v>
      </c>
      <c r="S206" s="55">
        <v>618001.18000000005</v>
      </c>
      <c r="T206" s="106">
        <f>IF(A206="Upgrade",IF(OR(H206=4,H206=5),_xlfn.XLOOKUP(I206,'Renewal Rates'!$A$22:$A$27,'Renewal Rates'!$B$22:$B$27,'Renewal Rates'!$B$27,0),'Renewal Rates'!$F$7),IF(A206="Renewal",100%,0%))</f>
        <v>0</v>
      </c>
      <c r="U206" s="68">
        <f t="shared" si="3"/>
        <v>0</v>
      </c>
      <c r="V206" s="68"/>
    </row>
    <row r="207" spans="1:22" ht="14.4" x14ac:dyDescent="0.3">
      <c r="A207" s="1" t="s">
        <v>25</v>
      </c>
      <c r="B207" s="45">
        <v>3.0139999999999998</v>
      </c>
      <c r="C207" s="62"/>
      <c r="D207" s="98">
        <v>70.587827000000004</v>
      </c>
      <c r="E207" s="98"/>
      <c r="F207" s="63"/>
      <c r="G207" s="64">
        <v>450</v>
      </c>
      <c r="H207" s="63"/>
      <c r="I207" s="45" t="s">
        <v>122</v>
      </c>
      <c r="J207" s="1">
        <v>386</v>
      </c>
      <c r="K207" s="65" t="s">
        <v>23</v>
      </c>
      <c r="L207" s="65" t="s">
        <v>24</v>
      </c>
      <c r="M207" s="66">
        <v>191790</v>
      </c>
      <c r="N207" s="66">
        <v>2717</v>
      </c>
      <c r="O207" s="66">
        <v>65209</v>
      </c>
      <c r="P207" s="66">
        <v>256999</v>
      </c>
      <c r="Q207" s="67">
        <v>0.4</v>
      </c>
      <c r="R207" s="66">
        <v>102800</v>
      </c>
      <c r="S207" s="55">
        <v>359798.86</v>
      </c>
      <c r="T207" s="106">
        <f>IF(A207="Upgrade",IF(OR(H207=4,H207=5),_xlfn.XLOOKUP(I207,'Renewal Rates'!$A$22:$A$27,'Renewal Rates'!$B$22:$B$27,'Renewal Rates'!$B$27,0),'Renewal Rates'!$F$7),IF(A207="Renewal",100%,0%))</f>
        <v>0</v>
      </c>
      <c r="U207" s="68">
        <f t="shared" si="3"/>
        <v>0</v>
      </c>
      <c r="V207" s="68"/>
    </row>
    <row r="208" spans="1:22" ht="14.4" x14ac:dyDescent="0.3">
      <c r="A208" s="1" t="s">
        <v>25</v>
      </c>
      <c r="B208" s="45">
        <v>3.0019999999999998</v>
      </c>
      <c r="C208" s="62"/>
      <c r="D208" s="98">
        <v>101.761263</v>
      </c>
      <c r="E208" s="98"/>
      <c r="F208" s="63"/>
      <c r="G208" s="64">
        <v>450</v>
      </c>
      <c r="H208" s="63"/>
      <c r="I208" s="45" t="s">
        <v>122</v>
      </c>
      <c r="J208" s="1">
        <v>386</v>
      </c>
      <c r="K208" s="65" t="s">
        <v>23</v>
      </c>
      <c r="L208" s="65" t="s">
        <v>24</v>
      </c>
      <c r="M208" s="66">
        <v>291660</v>
      </c>
      <c r="N208" s="66">
        <v>2866</v>
      </c>
      <c r="O208" s="66">
        <v>99164</v>
      </c>
      <c r="P208" s="66">
        <v>390824</v>
      </c>
      <c r="Q208" s="67">
        <v>0.4</v>
      </c>
      <c r="R208" s="66">
        <v>156330</v>
      </c>
      <c r="S208" s="55">
        <v>547153.59</v>
      </c>
      <c r="T208" s="106">
        <f>IF(A208="Upgrade",IF(OR(H208=4,H208=5),_xlfn.XLOOKUP(I208,'Renewal Rates'!$A$22:$A$27,'Renewal Rates'!$B$22:$B$27,'Renewal Rates'!$B$27,0),'Renewal Rates'!$F$7),IF(A208="Renewal",100%,0%))</f>
        <v>0</v>
      </c>
      <c r="U208" s="68">
        <f t="shared" si="3"/>
        <v>0</v>
      </c>
      <c r="V208" s="68"/>
    </row>
    <row r="209" spans="1:22" ht="14.4" x14ac:dyDescent="0.3">
      <c r="A209" s="1" t="s">
        <v>25</v>
      </c>
      <c r="B209" s="45">
        <v>3.0030000000000001</v>
      </c>
      <c r="C209" s="62"/>
      <c r="D209" s="98">
        <v>52.224994000000002</v>
      </c>
      <c r="E209" s="98"/>
      <c r="F209" s="63"/>
      <c r="G209" s="64">
        <v>450</v>
      </c>
      <c r="H209" s="63"/>
      <c r="I209" s="45" t="s">
        <v>122</v>
      </c>
      <c r="J209" s="1">
        <v>386</v>
      </c>
      <c r="K209" s="65" t="s">
        <v>23</v>
      </c>
      <c r="L209" s="65" t="s">
        <v>24</v>
      </c>
      <c r="M209" s="66">
        <v>159265</v>
      </c>
      <c r="N209" s="66">
        <v>3050</v>
      </c>
      <c r="O209" s="66">
        <v>54150</v>
      </c>
      <c r="P209" s="66">
        <v>213415</v>
      </c>
      <c r="Q209" s="67">
        <v>0.4</v>
      </c>
      <c r="R209" s="66">
        <v>85366</v>
      </c>
      <c r="S209" s="55">
        <v>298781.56</v>
      </c>
      <c r="T209" s="106">
        <f>IF(A209="Upgrade",IF(OR(H209=4,H209=5),_xlfn.XLOOKUP(I209,'Renewal Rates'!$A$22:$A$27,'Renewal Rates'!$B$22:$B$27,'Renewal Rates'!$B$27,0),'Renewal Rates'!$F$7),IF(A209="Renewal",100%,0%))</f>
        <v>0</v>
      </c>
      <c r="U209" s="68">
        <f t="shared" si="3"/>
        <v>0</v>
      </c>
      <c r="V209" s="68"/>
    </row>
    <row r="210" spans="1:22" ht="14.4" x14ac:dyDescent="0.3">
      <c r="A210" s="1" t="s">
        <v>25</v>
      </c>
      <c r="B210" s="45">
        <v>3.012</v>
      </c>
      <c r="C210" s="62"/>
      <c r="D210" s="98">
        <v>70.684012999999993</v>
      </c>
      <c r="E210" s="98"/>
      <c r="F210" s="63"/>
      <c r="G210" s="64">
        <v>525</v>
      </c>
      <c r="H210" s="63"/>
      <c r="I210" s="45" t="s">
        <v>122</v>
      </c>
      <c r="J210" s="1">
        <v>386</v>
      </c>
      <c r="K210" s="65" t="s">
        <v>23</v>
      </c>
      <c r="L210" s="65" t="s">
        <v>24</v>
      </c>
      <c r="M210" s="66">
        <v>221690</v>
      </c>
      <c r="N210" s="66">
        <v>3136</v>
      </c>
      <c r="O210" s="66">
        <v>75375</v>
      </c>
      <c r="P210" s="66">
        <v>297065</v>
      </c>
      <c r="Q210" s="67">
        <v>0.4</v>
      </c>
      <c r="R210" s="66">
        <v>118826</v>
      </c>
      <c r="S210" s="55">
        <v>415891.09</v>
      </c>
      <c r="T210" s="106">
        <f>IF(A210="Upgrade",IF(OR(H210=4,H210=5),_xlfn.XLOOKUP(I210,'Renewal Rates'!$A$22:$A$27,'Renewal Rates'!$B$22:$B$27,'Renewal Rates'!$B$27,0),'Renewal Rates'!$F$7),IF(A210="Renewal",100%,0%))</f>
        <v>0</v>
      </c>
      <c r="U210" s="68">
        <f t="shared" si="3"/>
        <v>0</v>
      </c>
      <c r="V210" s="68"/>
    </row>
    <row r="211" spans="1:22" ht="14.4" x14ac:dyDescent="0.3">
      <c r="A211" s="1" t="s">
        <v>25</v>
      </c>
      <c r="B211" s="45">
        <v>3.0070000000000001</v>
      </c>
      <c r="C211" s="62"/>
      <c r="D211" s="98">
        <v>294.48044599999997</v>
      </c>
      <c r="E211" s="98"/>
      <c r="F211" s="63"/>
      <c r="G211" s="64">
        <v>750</v>
      </c>
      <c r="H211" s="63"/>
      <c r="I211" s="45" t="s">
        <v>122</v>
      </c>
      <c r="J211" s="1">
        <v>386</v>
      </c>
      <c r="K211" s="65" t="s">
        <v>23</v>
      </c>
      <c r="L211" s="65" t="s">
        <v>24</v>
      </c>
      <c r="M211" s="66">
        <v>1174986</v>
      </c>
      <c r="N211" s="66">
        <v>3990</v>
      </c>
      <c r="O211" s="66">
        <v>399495</v>
      </c>
      <c r="P211" s="66">
        <v>1574481</v>
      </c>
      <c r="Q211" s="67">
        <v>0.4</v>
      </c>
      <c r="R211" s="66">
        <v>629792</v>
      </c>
      <c r="S211" s="55">
        <v>2204273.08</v>
      </c>
      <c r="T211" s="106">
        <f>IF(A211="Upgrade",IF(OR(H211=4,H211=5),_xlfn.XLOOKUP(I211,'Renewal Rates'!$A$22:$A$27,'Renewal Rates'!$B$22:$B$27,'Renewal Rates'!$B$27,0),'Renewal Rates'!$F$7),IF(A211="Renewal",100%,0%))</f>
        <v>0</v>
      </c>
      <c r="U211" s="68">
        <f t="shared" si="3"/>
        <v>0</v>
      </c>
      <c r="V211" s="68"/>
    </row>
    <row r="212" spans="1:22" ht="14.4" x14ac:dyDescent="0.3">
      <c r="A212" s="1" t="s">
        <v>25</v>
      </c>
      <c r="B212" s="45">
        <v>3.004</v>
      </c>
      <c r="C212" s="62"/>
      <c r="D212" s="98">
        <v>81.048216999999994</v>
      </c>
      <c r="E212" s="98"/>
      <c r="F212" s="63"/>
      <c r="G212" s="64">
        <v>450</v>
      </c>
      <c r="H212" s="63"/>
      <c r="I212" s="45" t="s">
        <v>122</v>
      </c>
      <c r="J212" s="1">
        <v>386</v>
      </c>
      <c r="K212" s="65" t="s">
        <v>23</v>
      </c>
      <c r="L212" s="65" t="s">
        <v>24</v>
      </c>
      <c r="M212" s="66">
        <v>202303</v>
      </c>
      <c r="N212" s="66">
        <v>2496</v>
      </c>
      <c r="O212" s="66">
        <v>68783</v>
      </c>
      <c r="P212" s="66">
        <v>271087</v>
      </c>
      <c r="Q212" s="67">
        <v>0.4</v>
      </c>
      <c r="R212" s="66">
        <v>108435</v>
      </c>
      <c r="S212" s="55">
        <v>379521.18</v>
      </c>
      <c r="T212" s="106">
        <f>IF(A212="Upgrade",IF(OR(H212=4,H212=5),_xlfn.XLOOKUP(I212,'Renewal Rates'!$A$22:$A$27,'Renewal Rates'!$B$22:$B$27,'Renewal Rates'!$B$27,0),'Renewal Rates'!$F$7),IF(A212="Renewal",100%,0%))</f>
        <v>0</v>
      </c>
      <c r="U212" s="68">
        <f t="shared" si="3"/>
        <v>0</v>
      </c>
      <c r="V212" s="68"/>
    </row>
    <row r="213" spans="1:22" ht="14.4" x14ac:dyDescent="0.3">
      <c r="A213" s="1" t="s">
        <v>25</v>
      </c>
      <c r="B213" s="45">
        <v>4.0110000000000001</v>
      </c>
      <c r="C213" s="62"/>
      <c r="D213" s="98">
        <v>75.418003999999996</v>
      </c>
      <c r="E213" s="98"/>
      <c r="F213" s="63"/>
      <c r="G213" s="64">
        <v>675</v>
      </c>
      <c r="H213" s="63"/>
      <c r="I213" s="45" t="s">
        <v>122</v>
      </c>
      <c r="J213" s="1">
        <v>386</v>
      </c>
      <c r="K213" s="65" t="s">
        <v>23</v>
      </c>
      <c r="L213" s="65" t="s">
        <v>24</v>
      </c>
      <c r="M213" s="66">
        <v>324670</v>
      </c>
      <c r="N213" s="66">
        <v>4305</v>
      </c>
      <c r="O213" s="66">
        <v>110388</v>
      </c>
      <c r="P213" s="66">
        <v>435058</v>
      </c>
      <c r="Q213" s="67">
        <v>0.4</v>
      </c>
      <c r="R213" s="66">
        <v>174023</v>
      </c>
      <c r="S213" s="55">
        <v>609080.97</v>
      </c>
      <c r="T213" s="106">
        <f>IF(A213="Upgrade",IF(OR(H213=4,H213=5),_xlfn.XLOOKUP(I213,'Renewal Rates'!$A$22:$A$27,'Renewal Rates'!$B$22:$B$27,'Renewal Rates'!$B$27,0),'Renewal Rates'!$F$7),IF(A213="Renewal",100%,0%))</f>
        <v>0</v>
      </c>
      <c r="U213" s="68">
        <f t="shared" si="3"/>
        <v>0</v>
      </c>
      <c r="V213" s="68"/>
    </row>
    <row r="214" spans="1:22" ht="14.4" x14ac:dyDescent="0.3">
      <c r="A214" s="1" t="s">
        <v>25</v>
      </c>
      <c r="B214" s="45">
        <v>4.0119999999999996</v>
      </c>
      <c r="C214" s="62"/>
      <c r="D214" s="98">
        <v>127.015756</v>
      </c>
      <c r="E214" s="98"/>
      <c r="F214" s="63"/>
      <c r="G214" s="64">
        <v>600</v>
      </c>
      <c r="H214" s="63"/>
      <c r="I214" s="45" t="s">
        <v>122</v>
      </c>
      <c r="J214" s="1">
        <v>386</v>
      </c>
      <c r="K214" s="65" t="s">
        <v>23</v>
      </c>
      <c r="L214" s="65" t="s">
        <v>24</v>
      </c>
      <c r="M214" s="66">
        <v>406008</v>
      </c>
      <c r="N214" s="66">
        <v>3197</v>
      </c>
      <c r="O214" s="66">
        <v>138043</v>
      </c>
      <c r="P214" s="66">
        <v>544050</v>
      </c>
      <c r="Q214" s="67">
        <v>0.4</v>
      </c>
      <c r="R214" s="66">
        <v>217620</v>
      </c>
      <c r="S214" s="55">
        <v>761670.21</v>
      </c>
      <c r="T214" s="106">
        <f>IF(A214="Upgrade",IF(OR(H214=4,H214=5),_xlfn.XLOOKUP(I214,'Renewal Rates'!$A$22:$A$27,'Renewal Rates'!$B$22:$B$27,'Renewal Rates'!$B$27,0),'Renewal Rates'!$F$7),IF(A214="Renewal",100%,0%))</f>
        <v>0</v>
      </c>
      <c r="U214" s="68">
        <f t="shared" si="3"/>
        <v>0</v>
      </c>
      <c r="V214" s="68"/>
    </row>
    <row r="215" spans="1:22" ht="14.4" x14ac:dyDescent="0.3">
      <c r="A215" s="1" t="s">
        <v>25</v>
      </c>
      <c r="B215" s="45">
        <v>4.0019999999999998</v>
      </c>
      <c r="C215" s="62"/>
      <c r="D215" s="98">
        <v>85.430683999999999</v>
      </c>
      <c r="E215" s="98"/>
      <c r="F215" s="63"/>
      <c r="G215" s="64">
        <v>450</v>
      </c>
      <c r="H215" s="63"/>
      <c r="I215" s="45" t="s">
        <v>122</v>
      </c>
      <c r="J215" s="1">
        <v>386</v>
      </c>
      <c r="K215" s="65" t="s">
        <v>23</v>
      </c>
      <c r="L215" s="65" t="s">
        <v>24</v>
      </c>
      <c r="M215" s="66">
        <v>1436783</v>
      </c>
      <c r="N215" s="66">
        <v>4337</v>
      </c>
      <c r="O215" s="66">
        <v>488506</v>
      </c>
      <c r="P215" s="66">
        <v>1925289</v>
      </c>
      <c r="Q215" s="67">
        <v>0.4</v>
      </c>
      <c r="R215" s="66">
        <v>770116</v>
      </c>
      <c r="S215" s="55">
        <v>2695404.54</v>
      </c>
      <c r="T215" s="106">
        <f>IF(A215="Upgrade",IF(OR(H215=4,H215=5),_xlfn.XLOOKUP(I215,'Renewal Rates'!$A$22:$A$27,'Renewal Rates'!$B$22:$B$27,'Renewal Rates'!$B$27,0),'Renewal Rates'!$F$7),IF(A215="Renewal",100%,0%))</f>
        <v>0</v>
      </c>
      <c r="U215" s="68">
        <f t="shared" si="3"/>
        <v>0</v>
      </c>
      <c r="V215" s="68"/>
    </row>
    <row r="216" spans="1:22" ht="14.4" x14ac:dyDescent="0.3">
      <c r="A216" s="1" t="s">
        <v>25</v>
      </c>
      <c r="B216" s="45">
        <v>4.0039999999999996</v>
      </c>
      <c r="C216" s="62"/>
      <c r="D216" s="98">
        <v>36.440966000000003</v>
      </c>
      <c r="E216" s="98"/>
      <c r="F216" s="63"/>
      <c r="G216" s="64">
        <v>750</v>
      </c>
      <c r="H216" s="63"/>
      <c r="I216" s="45" t="s">
        <v>122</v>
      </c>
      <c r="J216" s="1">
        <v>386</v>
      </c>
      <c r="K216" s="65" t="s">
        <v>23</v>
      </c>
      <c r="L216" s="65" t="s">
        <v>24</v>
      </c>
      <c r="M216" s="66">
        <v>395550</v>
      </c>
      <c r="N216" s="66">
        <v>3384</v>
      </c>
      <c r="O216" s="66">
        <v>134487</v>
      </c>
      <c r="P216" s="66">
        <v>530037</v>
      </c>
      <c r="Q216" s="67">
        <v>0.4</v>
      </c>
      <c r="R216" s="66">
        <v>212015</v>
      </c>
      <c r="S216" s="55">
        <v>742051.74</v>
      </c>
      <c r="T216" s="106">
        <f>IF(A216="Upgrade",IF(OR(H216=4,H216=5),_xlfn.XLOOKUP(I216,'Renewal Rates'!$A$22:$A$27,'Renewal Rates'!$B$22:$B$27,'Renewal Rates'!$B$27,0),'Renewal Rates'!$F$7),IF(A216="Renewal",100%,0%))</f>
        <v>0</v>
      </c>
      <c r="U216" s="68">
        <f t="shared" si="3"/>
        <v>0</v>
      </c>
      <c r="V216" s="68"/>
    </row>
    <row r="217" spans="1:22" ht="14.4" x14ac:dyDescent="0.3">
      <c r="A217" s="1" t="s">
        <v>25</v>
      </c>
      <c r="B217" s="45">
        <v>4.0030000000000001</v>
      </c>
      <c r="C217" s="62"/>
      <c r="D217" s="98">
        <v>98.522593000000001</v>
      </c>
      <c r="E217" s="98"/>
      <c r="F217" s="63"/>
      <c r="G217" s="64">
        <v>450</v>
      </c>
      <c r="H217" s="63"/>
      <c r="I217" s="45" t="s">
        <v>122</v>
      </c>
      <c r="J217" s="1">
        <v>386</v>
      </c>
      <c r="K217" s="65" t="s">
        <v>23</v>
      </c>
      <c r="L217" s="65" t="s">
        <v>24</v>
      </c>
      <c r="M217" s="66">
        <v>485779</v>
      </c>
      <c r="N217" s="66">
        <v>3809</v>
      </c>
      <c r="O217" s="66">
        <v>165165</v>
      </c>
      <c r="P217" s="66">
        <v>650944</v>
      </c>
      <c r="Q217" s="67">
        <v>0.4</v>
      </c>
      <c r="R217" s="66">
        <v>260378</v>
      </c>
      <c r="S217" s="55">
        <v>911321.68</v>
      </c>
      <c r="T217" s="106">
        <f>IF(A217="Upgrade",IF(OR(H217=4,H217=5),_xlfn.XLOOKUP(I217,'Renewal Rates'!$A$22:$A$27,'Renewal Rates'!$B$22:$B$27,'Renewal Rates'!$B$27,0),'Renewal Rates'!$F$7),IF(A217="Renewal",100%,0%))</f>
        <v>0</v>
      </c>
      <c r="U217" s="68">
        <f t="shared" si="3"/>
        <v>0</v>
      </c>
      <c r="V217" s="68"/>
    </row>
    <row r="218" spans="1:22" ht="14.4" x14ac:dyDescent="0.3">
      <c r="A218" s="1" t="s">
        <v>25</v>
      </c>
      <c r="B218" s="45">
        <v>3.0230000000000001</v>
      </c>
      <c r="C218" s="62"/>
      <c r="D218" s="98">
        <v>104.76892700000001</v>
      </c>
      <c r="E218" s="98"/>
      <c r="F218" s="63"/>
      <c r="G218" s="64">
        <v>450</v>
      </c>
      <c r="H218" s="63"/>
      <c r="I218" s="45" t="s">
        <v>122</v>
      </c>
      <c r="J218" s="1">
        <v>387</v>
      </c>
      <c r="K218" s="65" t="s">
        <v>23</v>
      </c>
      <c r="L218" s="65" t="s">
        <v>24</v>
      </c>
      <c r="M218" s="66">
        <v>310183</v>
      </c>
      <c r="N218" s="66">
        <v>2961</v>
      </c>
      <c r="O218" s="66">
        <v>105462</v>
      </c>
      <c r="P218" s="66">
        <v>415646</v>
      </c>
      <c r="Q218" s="67">
        <v>0.4</v>
      </c>
      <c r="R218" s="66">
        <v>166258</v>
      </c>
      <c r="S218" s="55">
        <v>581903.93000000005</v>
      </c>
      <c r="T218" s="106">
        <f>IF(A218="Upgrade",IF(OR(H218=4,H218=5),_xlfn.XLOOKUP(I218,'Renewal Rates'!$A$22:$A$27,'Renewal Rates'!$B$22:$B$27,'Renewal Rates'!$B$27,0),'Renewal Rates'!$F$7),IF(A218="Renewal",100%,0%))</f>
        <v>0</v>
      </c>
      <c r="U218" s="68">
        <f t="shared" si="3"/>
        <v>0</v>
      </c>
      <c r="V218" s="68"/>
    </row>
    <row r="219" spans="1:22" ht="14.4" x14ac:dyDescent="0.3">
      <c r="A219" s="1" t="s">
        <v>25</v>
      </c>
      <c r="B219" s="45">
        <v>3.0009999999999999</v>
      </c>
      <c r="C219" s="62"/>
      <c r="D219" s="98">
        <v>117.777844</v>
      </c>
      <c r="E219" s="98"/>
      <c r="F219" s="63"/>
      <c r="G219" s="64">
        <v>675</v>
      </c>
      <c r="H219" s="63"/>
      <c r="I219" s="45" t="s">
        <v>122</v>
      </c>
      <c r="J219" s="1">
        <v>386</v>
      </c>
      <c r="K219" s="65" t="s">
        <v>23</v>
      </c>
      <c r="L219" s="65" t="s">
        <v>24</v>
      </c>
      <c r="M219" s="66">
        <v>454662</v>
      </c>
      <c r="N219" s="66">
        <v>3860</v>
      </c>
      <c r="O219" s="66">
        <v>154585</v>
      </c>
      <c r="P219" s="66">
        <v>609247</v>
      </c>
      <c r="Q219" s="67">
        <v>0.4</v>
      </c>
      <c r="R219" s="66">
        <v>243699</v>
      </c>
      <c r="S219" s="55">
        <v>852945.1</v>
      </c>
      <c r="T219" s="106">
        <f>IF(A219="Upgrade",IF(OR(H219=4,H219=5),_xlfn.XLOOKUP(I219,'Renewal Rates'!$A$22:$A$27,'Renewal Rates'!$B$22:$B$27,'Renewal Rates'!$B$27,0),'Renewal Rates'!$F$7),IF(A219="Renewal",100%,0%))</f>
        <v>0</v>
      </c>
      <c r="U219" s="68">
        <f t="shared" si="3"/>
        <v>0</v>
      </c>
      <c r="V219" s="68"/>
    </row>
    <row r="220" spans="1:22" ht="14.4" x14ac:dyDescent="0.3">
      <c r="A220" s="1" t="s">
        <v>25</v>
      </c>
      <c r="B220" s="45">
        <v>5.0010000000000003</v>
      </c>
      <c r="C220" s="62"/>
      <c r="D220" s="98">
        <v>259.868087</v>
      </c>
      <c r="E220" s="98"/>
      <c r="F220" s="63"/>
      <c r="G220" s="64">
        <v>900</v>
      </c>
      <c r="H220" s="63"/>
      <c r="I220" s="45" t="s">
        <v>122</v>
      </c>
      <c r="J220" s="1">
        <v>387</v>
      </c>
      <c r="K220" s="65" t="s">
        <v>23</v>
      </c>
      <c r="L220" s="65" t="s">
        <v>24</v>
      </c>
      <c r="M220" s="66">
        <v>266200</v>
      </c>
      <c r="N220" s="66">
        <v>2731</v>
      </c>
      <c r="O220" s="66">
        <v>90508</v>
      </c>
      <c r="P220" s="66">
        <v>356708</v>
      </c>
      <c r="Q220" s="67">
        <v>0.4</v>
      </c>
      <c r="R220" s="66">
        <v>142683</v>
      </c>
      <c r="S220" s="55">
        <v>499391.06</v>
      </c>
      <c r="T220" s="106">
        <f>IF(A220="Upgrade",IF(OR(H220=4,H220=5),_xlfn.XLOOKUP(I220,'Renewal Rates'!$A$22:$A$27,'Renewal Rates'!$B$22:$B$27,'Renewal Rates'!$B$27,0),'Renewal Rates'!$F$7),IF(A220="Renewal",100%,0%))</f>
        <v>0</v>
      </c>
      <c r="U220" s="68">
        <f t="shared" si="3"/>
        <v>0</v>
      </c>
      <c r="V220" s="68"/>
    </row>
    <row r="221" spans="1:22" ht="14.4" x14ac:dyDescent="0.3">
      <c r="A221" s="1" t="s">
        <v>25</v>
      </c>
      <c r="B221" s="45">
        <v>3.02</v>
      </c>
      <c r="C221" s="62"/>
      <c r="D221" s="98">
        <v>76.384854000000004</v>
      </c>
      <c r="E221" s="98"/>
      <c r="F221" s="63"/>
      <c r="G221" s="64">
        <v>450</v>
      </c>
      <c r="H221" s="63"/>
      <c r="I221" s="45" t="s">
        <v>122</v>
      </c>
      <c r="J221" s="1">
        <v>387</v>
      </c>
      <c r="K221" s="65" t="s">
        <v>23</v>
      </c>
      <c r="L221" s="65" t="s">
        <v>24</v>
      </c>
      <c r="M221" s="66">
        <v>138029</v>
      </c>
      <c r="N221" s="66">
        <v>2785</v>
      </c>
      <c r="O221" s="66">
        <v>46930</v>
      </c>
      <c r="P221" s="66">
        <v>184959</v>
      </c>
      <c r="Q221" s="67">
        <v>0.4</v>
      </c>
      <c r="R221" s="66">
        <v>73984</v>
      </c>
      <c r="S221" s="55">
        <v>258942.27</v>
      </c>
      <c r="T221" s="106">
        <f>IF(A221="Upgrade",IF(OR(H221=4,H221=5),_xlfn.XLOOKUP(I221,'Renewal Rates'!$A$22:$A$27,'Renewal Rates'!$B$22:$B$27,'Renewal Rates'!$B$27,0),'Renewal Rates'!$F$7),IF(A221="Renewal",100%,0%))</f>
        <v>0</v>
      </c>
      <c r="U221" s="68">
        <f t="shared" si="3"/>
        <v>0</v>
      </c>
      <c r="V221" s="68"/>
    </row>
    <row r="222" spans="1:22" ht="14.4" x14ac:dyDescent="0.3">
      <c r="A222" s="1" t="s">
        <v>25</v>
      </c>
      <c r="B222" s="45">
        <v>5.0069999999999997</v>
      </c>
      <c r="C222" s="62"/>
      <c r="D222" s="98">
        <v>90.054319000000007</v>
      </c>
      <c r="E222" s="98"/>
      <c r="F222" s="63"/>
      <c r="G222" s="64">
        <v>600</v>
      </c>
      <c r="H222" s="63"/>
      <c r="I222" s="45" t="s">
        <v>122</v>
      </c>
      <c r="J222" s="1">
        <v>387</v>
      </c>
      <c r="K222" s="65" t="s">
        <v>23</v>
      </c>
      <c r="L222" s="65" t="s">
        <v>24</v>
      </c>
      <c r="M222" s="66">
        <v>291063</v>
      </c>
      <c r="N222" s="66">
        <v>3232</v>
      </c>
      <c r="O222" s="66">
        <v>98961</v>
      </c>
      <c r="P222" s="66">
        <v>390025</v>
      </c>
      <c r="Q222" s="67">
        <v>0.4</v>
      </c>
      <c r="R222" s="66">
        <v>156010</v>
      </c>
      <c r="S222" s="55">
        <v>546034.56999999995</v>
      </c>
      <c r="T222" s="106">
        <f>IF(A222="Upgrade",IF(OR(H222=4,H222=5),_xlfn.XLOOKUP(I222,'Renewal Rates'!$A$22:$A$27,'Renewal Rates'!$B$22:$B$27,'Renewal Rates'!$B$27,0),'Renewal Rates'!$F$7),IF(A222="Renewal",100%,0%))</f>
        <v>0</v>
      </c>
      <c r="U222" s="68">
        <f t="shared" si="3"/>
        <v>0</v>
      </c>
      <c r="V222" s="68"/>
    </row>
    <row r="223" spans="1:22" ht="14.4" x14ac:dyDescent="0.3">
      <c r="A223" s="1" t="s">
        <v>25</v>
      </c>
      <c r="B223" s="45">
        <v>6.0049999999999999</v>
      </c>
      <c r="C223" s="62"/>
      <c r="D223" s="98">
        <v>93.732311999999993</v>
      </c>
      <c r="E223" s="98"/>
      <c r="F223" s="63"/>
      <c r="G223" s="64">
        <v>600</v>
      </c>
      <c r="H223" s="63"/>
      <c r="I223" s="45" t="s">
        <v>122</v>
      </c>
      <c r="J223" s="1">
        <v>387</v>
      </c>
      <c r="K223" s="65" t="s">
        <v>23</v>
      </c>
      <c r="L223" s="65" t="s">
        <v>24</v>
      </c>
      <c r="M223" s="66">
        <v>330685</v>
      </c>
      <c r="N223" s="66">
        <v>3528</v>
      </c>
      <c r="O223" s="66">
        <v>112433</v>
      </c>
      <c r="P223" s="66">
        <v>443117</v>
      </c>
      <c r="Q223" s="67">
        <v>0.4</v>
      </c>
      <c r="R223" s="66">
        <v>177247</v>
      </c>
      <c r="S223" s="55">
        <v>620364.34</v>
      </c>
      <c r="T223" s="106">
        <f>IF(A223="Upgrade",IF(OR(H223=4,H223=5),_xlfn.XLOOKUP(I223,'Renewal Rates'!$A$22:$A$27,'Renewal Rates'!$B$22:$B$27,'Renewal Rates'!$B$27,0),'Renewal Rates'!$F$7),IF(A223="Renewal",100%,0%))</f>
        <v>0</v>
      </c>
      <c r="U223" s="68">
        <f t="shared" si="3"/>
        <v>0</v>
      </c>
      <c r="V223" s="68"/>
    </row>
    <row r="224" spans="1:22" ht="14.4" x14ac:dyDescent="0.3">
      <c r="A224" s="1" t="s">
        <v>25</v>
      </c>
      <c r="B224" s="45">
        <v>6.0060000000000002</v>
      </c>
      <c r="C224" s="62"/>
      <c r="D224" s="98">
        <v>133.67177000000001</v>
      </c>
      <c r="E224" s="98"/>
      <c r="F224" s="63"/>
      <c r="G224" s="64">
        <v>750</v>
      </c>
      <c r="H224" s="63"/>
      <c r="I224" s="45" t="s">
        <v>122</v>
      </c>
      <c r="J224" s="1">
        <v>387</v>
      </c>
      <c r="K224" s="65" t="s">
        <v>23</v>
      </c>
      <c r="L224" s="65" t="s">
        <v>24</v>
      </c>
      <c r="M224" s="66">
        <v>575814</v>
      </c>
      <c r="N224" s="66">
        <v>4308</v>
      </c>
      <c r="O224" s="66">
        <v>195777</v>
      </c>
      <c r="P224" s="66">
        <v>771591</v>
      </c>
      <c r="Q224" s="67">
        <v>0.4</v>
      </c>
      <c r="R224" s="66">
        <v>308636</v>
      </c>
      <c r="S224" s="55">
        <v>1080227.2</v>
      </c>
      <c r="T224" s="106">
        <f>IF(A224="Upgrade",IF(OR(H224=4,H224=5),_xlfn.XLOOKUP(I224,'Renewal Rates'!$A$22:$A$27,'Renewal Rates'!$B$22:$B$27,'Renewal Rates'!$B$27,0),'Renewal Rates'!$F$7),IF(A224="Renewal",100%,0%))</f>
        <v>0</v>
      </c>
      <c r="U224" s="68">
        <f t="shared" si="3"/>
        <v>0</v>
      </c>
      <c r="V224" s="68"/>
    </row>
    <row r="225" spans="1:22" ht="14.4" x14ac:dyDescent="0.3">
      <c r="A225" s="1" t="s">
        <v>25</v>
      </c>
      <c r="B225" s="45">
        <v>6.0069999999999997</v>
      </c>
      <c r="C225" s="62"/>
      <c r="D225" s="98">
        <v>155.89177000000001</v>
      </c>
      <c r="E225" s="98"/>
      <c r="F225" s="63"/>
      <c r="G225" s="64">
        <v>525</v>
      </c>
      <c r="H225" s="63"/>
      <c r="I225" s="45" t="s">
        <v>122</v>
      </c>
      <c r="J225" s="1">
        <v>387</v>
      </c>
      <c r="K225" s="65" t="s">
        <v>23</v>
      </c>
      <c r="L225" s="65" t="s">
        <v>24</v>
      </c>
      <c r="M225" s="66">
        <v>469881</v>
      </c>
      <c r="N225" s="66">
        <v>3014</v>
      </c>
      <c r="O225" s="66">
        <v>159760</v>
      </c>
      <c r="P225" s="66">
        <v>629641</v>
      </c>
      <c r="Q225" s="67">
        <v>0.4</v>
      </c>
      <c r="R225" s="66">
        <v>251856</v>
      </c>
      <c r="S225" s="55">
        <v>881496.73</v>
      </c>
      <c r="T225" s="106">
        <f>IF(A225="Upgrade",IF(OR(H225=4,H225=5),_xlfn.XLOOKUP(I225,'Renewal Rates'!$A$22:$A$27,'Renewal Rates'!$B$22:$B$27,'Renewal Rates'!$B$27,0),'Renewal Rates'!$F$7),IF(A225="Renewal",100%,0%))</f>
        <v>0</v>
      </c>
      <c r="U225" s="68">
        <f t="shared" si="3"/>
        <v>0</v>
      </c>
      <c r="V225" s="68"/>
    </row>
    <row r="226" spans="1:22" ht="14.4" x14ac:dyDescent="0.3">
      <c r="A226" s="1" t="s">
        <v>25</v>
      </c>
      <c r="B226" s="45">
        <v>6.0010000000000003</v>
      </c>
      <c r="C226" s="62"/>
      <c r="D226" s="98">
        <v>70.701961999999995</v>
      </c>
      <c r="E226" s="98"/>
      <c r="F226" s="63"/>
      <c r="G226" s="64">
        <v>600</v>
      </c>
      <c r="H226" s="63"/>
      <c r="I226" s="45" t="s">
        <v>122</v>
      </c>
      <c r="J226" s="1">
        <v>387</v>
      </c>
      <c r="K226" s="65" t="s">
        <v>23</v>
      </c>
      <c r="L226" s="65" t="s">
        <v>24</v>
      </c>
      <c r="M226" s="66">
        <v>251611</v>
      </c>
      <c r="N226" s="66">
        <v>3559</v>
      </c>
      <c r="O226" s="66">
        <v>85548</v>
      </c>
      <c r="P226" s="66">
        <v>337159</v>
      </c>
      <c r="Q226" s="67">
        <v>0.4</v>
      </c>
      <c r="R226" s="66">
        <v>134864</v>
      </c>
      <c r="S226" s="55">
        <v>472022.71</v>
      </c>
      <c r="T226" s="106">
        <f>IF(A226="Upgrade",IF(OR(H226=4,H226=5),_xlfn.XLOOKUP(I226,'Renewal Rates'!$A$22:$A$27,'Renewal Rates'!$B$22:$B$27,'Renewal Rates'!$B$27,0),'Renewal Rates'!$F$7),IF(A226="Renewal",100%,0%))</f>
        <v>0</v>
      </c>
      <c r="U226" s="68">
        <f t="shared" si="3"/>
        <v>0</v>
      </c>
      <c r="V226" s="68"/>
    </row>
    <row r="227" spans="1:22" ht="15" thickBot="1" x14ac:dyDescent="0.35">
      <c r="A227" s="59" t="s">
        <v>25</v>
      </c>
      <c r="B227" s="60">
        <v>6.008</v>
      </c>
      <c r="C227" s="71"/>
      <c r="D227" s="99">
        <v>94.197800999999998</v>
      </c>
      <c r="E227" s="99"/>
      <c r="F227" s="72"/>
      <c r="G227" s="73">
        <v>525</v>
      </c>
      <c r="H227" s="72"/>
      <c r="I227" s="60" t="s">
        <v>122</v>
      </c>
      <c r="J227" s="59">
        <v>387</v>
      </c>
      <c r="K227" s="74" t="s">
        <v>23</v>
      </c>
      <c r="L227" s="74" t="s">
        <v>24</v>
      </c>
      <c r="M227" s="75">
        <v>281092</v>
      </c>
      <c r="N227" s="75">
        <v>2984</v>
      </c>
      <c r="O227" s="75">
        <v>95571</v>
      </c>
      <c r="P227" s="75">
        <v>376664</v>
      </c>
      <c r="Q227" s="76">
        <v>0.4</v>
      </c>
      <c r="R227" s="75">
        <v>150665</v>
      </c>
      <c r="S227" s="61">
        <v>527329</v>
      </c>
      <c r="T227" s="106">
        <f>IF(A227="Upgrade",IF(OR(H227=4,H227=5),_xlfn.XLOOKUP(I227,'Renewal Rates'!$A$22:$A$27,'Renewal Rates'!$B$22:$B$27,'Renewal Rates'!$B$27,0),'Renewal Rates'!$F$7),IF(A227="Renewal",100%,0%))</f>
        <v>0</v>
      </c>
      <c r="U227" s="68">
        <f t="shared" si="3"/>
        <v>0</v>
      </c>
      <c r="V227" s="68"/>
    </row>
    <row r="228" spans="1:22" x14ac:dyDescent="0.3">
      <c r="A228" s="41" t="s">
        <v>21</v>
      </c>
      <c r="B228" s="51">
        <v>8.0079999999999991</v>
      </c>
      <c r="C228" s="58">
        <v>2000367801</v>
      </c>
      <c r="D228" s="86">
        <v>31.39</v>
      </c>
      <c r="E228" s="86"/>
      <c r="F228" s="52">
        <v>300</v>
      </c>
      <c r="G228" s="53">
        <v>600</v>
      </c>
      <c r="H228" s="43" t="s">
        <v>122</v>
      </c>
      <c r="I228" s="45" t="s">
        <v>122</v>
      </c>
      <c r="J228" s="41">
        <v>368</v>
      </c>
      <c r="K228" s="54" t="s">
        <v>23</v>
      </c>
      <c r="L228" s="54" t="s">
        <v>24</v>
      </c>
      <c r="M228" s="57">
        <v>114799</v>
      </c>
      <c r="N228" s="57">
        <v>3657</v>
      </c>
      <c r="O228" s="57">
        <v>39032</v>
      </c>
      <c r="P228" s="57">
        <v>153830</v>
      </c>
      <c r="Q228" s="77">
        <v>0.4</v>
      </c>
      <c r="R228" s="57">
        <v>61532</v>
      </c>
      <c r="S228" s="57">
        <v>215362.44</v>
      </c>
      <c r="T228" s="106">
        <f>IF(A228="Upgrade",IF(OR(H228=4,H228=5),_xlfn.XLOOKUP(I228,'Renewal Rates'!$A$22:$A$27,'Renewal Rates'!$B$22:$B$27,'Renewal Rates'!$B$27,0),'Renewal Rates'!$F$7),IF(A228="Renewal",100%,0%))</f>
        <v>2.6599999999999999E-2</v>
      </c>
      <c r="U228" s="68">
        <f t="shared" si="3"/>
        <v>5728.6409039999999</v>
      </c>
      <c r="V228" s="68"/>
    </row>
    <row r="229" spans="1:22" x14ac:dyDescent="0.3">
      <c r="A229" s="41" t="s">
        <v>21</v>
      </c>
      <c r="B229" s="51" t="s">
        <v>38</v>
      </c>
      <c r="C229" s="58">
        <v>2000023579</v>
      </c>
      <c r="D229" s="86">
        <v>7.111612</v>
      </c>
      <c r="E229" s="86"/>
      <c r="F229" s="52">
        <v>1800</v>
      </c>
      <c r="G229" s="53">
        <v>2400</v>
      </c>
      <c r="H229" s="52">
        <v>5</v>
      </c>
      <c r="I229" s="45"/>
      <c r="J229" s="41">
        <v>376</v>
      </c>
      <c r="K229" s="54" t="s">
        <v>23</v>
      </c>
      <c r="L229" s="54" t="s">
        <v>24</v>
      </c>
      <c r="M229" s="57">
        <v>124214</v>
      </c>
      <c r="N229" s="57">
        <v>17466</v>
      </c>
      <c r="O229" s="57">
        <v>42233</v>
      </c>
      <c r="P229" s="57">
        <v>166446</v>
      </c>
      <c r="Q229" s="77">
        <v>0.4</v>
      </c>
      <c r="R229" s="57">
        <v>66578</v>
      </c>
      <c r="S229" s="57">
        <v>233024.63</v>
      </c>
      <c r="T229" s="106">
        <f>IF(A229="Upgrade",IF(OR(H229=4,H229=5),_xlfn.XLOOKUP(I229,'Renewal Rates'!$A$22:$A$27,'Renewal Rates'!$B$22:$B$27,'Renewal Rates'!$B$27,0),'Renewal Rates'!$F$7),IF(A229="Renewal",100%,0%))</f>
        <v>0.116578</v>
      </c>
      <c r="U229" s="68">
        <f t="shared" si="3"/>
        <v>27165.54531614</v>
      </c>
      <c r="V229" s="68"/>
    </row>
    <row r="230" spans="1:22" x14ac:dyDescent="0.3">
      <c r="A230" s="41" t="s">
        <v>21</v>
      </c>
      <c r="B230" s="51">
        <v>10.015000000000001</v>
      </c>
      <c r="C230" s="58">
        <v>2000400353</v>
      </c>
      <c r="D230" s="86">
        <v>60.9</v>
      </c>
      <c r="E230" s="86"/>
      <c r="F230" s="52">
        <v>375</v>
      </c>
      <c r="G230" s="53">
        <v>600</v>
      </c>
      <c r="H230" s="52" t="s">
        <v>122</v>
      </c>
      <c r="I230" s="45" t="s">
        <v>122</v>
      </c>
      <c r="J230" s="41">
        <v>377</v>
      </c>
      <c r="K230" s="54" t="s">
        <v>23</v>
      </c>
      <c r="L230" s="54" t="s">
        <v>24</v>
      </c>
      <c r="M230" s="57">
        <v>222026</v>
      </c>
      <c r="N230" s="57">
        <v>3646</v>
      </c>
      <c r="O230" s="57">
        <v>75489</v>
      </c>
      <c r="P230" s="57">
        <v>297515</v>
      </c>
      <c r="Q230" s="77">
        <v>0.4</v>
      </c>
      <c r="R230" s="57">
        <v>119006</v>
      </c>
      <c r="S230" s="57">
        <v>416520.33</v>
      </c>
      <c r="T230" s="106">
        <f>IF(A230="Upgrade",IF(OR(H230=4,H230=5),_xlfn.XLOOKUP(I230,'Renewal Rates'!$A$22:$A$27,'Renewal Rates'!$B$22:$B$27,'Renewal Rates'!$B$27,0),'Renewal Rates'!$F$7),IF(A230="Renewal",100%,0%))</f>
        <v>2.6599999999999999E-2</v>
      </c>
      <c r="U230" s="68">
        <f t="shared" si="3"/>
        <v>11079.440778</v>
      </c>
      <c r="V230" s="68"/>
    </row>
    <row r="231" spans="1:22" x14ac:dyDescent="0.3">
      <c r="A231" s="41" t="s">
        <v>21</v>
      </c>
      <c r="B231" s="51">
        <v>2.0089999999999999</v>
      </c>
      <c r="C231" s="58">
        <v>2000236222</v>
      </c>
      <c r="D231" s="86">
        <v>38.01</v>
      </c>
      <c r="E231" s="86"/>
      <c r="F231" s="52">
        <v>300</v>
      </c>
      <c r="G231" s="53">
        <v>975</v>
      </c>
      <c r="H231" s="52" t="s">
        <v>122</v>
      </c>
      <c r="I231" s="45" t="s">
        <v>122</v>
      </c>
      <c r="J231" s="41">
        <v>376</v>
      </c>
      <c r="K231" s="54" t="s">
        <v>23</v>
      </c>
      <c r="L231" s="54" t="s">
        <v>24</v>
      </c>
      <c r="M231" s="57">
        <v>250951</v>
      </c>
      <c r="N231" s="57">
        <v>6603</v>
      </c>
      <c r="O231" s="57">
        <v>85323</v>
      </c>
      <c r="P231" s="57">
        <v>336275</v>
      </c>
      <c r="Q231" s="77">
        <v>0.4</v>
      </c>
      <c r="R231" s="57">
        <v>134510</v>
      </c>
      <c r="S231" s="57">
        <v>470784.69</v>
      </c>
      <c r="T231" s="106">
        <f>IF(A231="Upgrade",IF(OR(H231=4,H231=5),_xlfn.XLOOKUP(I231,'Renewal Rates'!$A$22:$A$27,'Renewal Rates'!$B$22:$B$27,'Renewal Rates'!$B$27,0),'Renewal Rates'!$F$7),IF(A231="Renewal",100%,0%))</f>
        <v>2.6599999999999999E-2</v>
      </c>
      <c r="U231" s="68">
        <f t="shared" si="3"/>
        <v>12522.872754</v>
      </c>
      <c r="V231" s="68"/>
    </row>
    <row r="232" spans="1:22" x14ac:dyDescent="0.3">
      <c r="A232" s="41" t="s">
        <v>21</v>
      </c>
      <c r="B232" s="51">
        <v>16.015000000000001</v>
      </c>
      <c r="C232" s="58">
        <v>3000019769</v>
      </c>
      <c r="D232" s="86">
        <v>12.32</v>
      </c>
      <c r="E232" s="86"/>
      <c r="F232" s="52">
        <v>225</v>
      </c>
      <c r="G232" s="53">
        <v>675</v>
      </c>
      <c r="H232" s="52" t="s">
        <v>122</v>
      </c>
      <c r="I232" s="45" t="s">
        <v>122</v>
      </c>
      <c r="J232" s="41">
        <v>376</v>
      </c>
      <c r="K232" s="54" t="s">
        <v>23</v>
      </c>
      <c r="L232" s="54" t="s">
        <v>24</v>
      </c>
      <c r="M232" s="57">
        <v>84188</v>
      </c>
      <c r="N232" s="57">
        <v>6835</v>
      </c>
      <c r="O232" s="57">
        <v>28624</v>
      </c>
      <c r="P232" s="57">
        <v>112812</v>
      </c>
      <c r="Q232" s="77">
        <v>0.4</v>
      </c>
      <c r="R232" s="57">
        <v>45125</v>
      </c>
      <c r="S232" s="57">
        <v>157936.53</v>
      </c>
      <c r="T232" s="106">
        <f>IF(A232="Upgrade",IF(OR(H232=4,H232=5),_xlfn.XLOOKUP(I232,'Renewal Rates'!$A$22:$A$27,'Renewal Rates'!$B$22:$B$27,'Renewal Rates'!$B$27,0),'Renewal Rates'!$F$7),IF(A232="Renewal",100%,0%))</f>
        <v>2.6599999999999999E-2</v>
      </c>
      <c r="U232" s="68">
        <f t="shared" si="3"/>
        <v>4201.1116979999997</v>
      </c>
      <c r="V232" s="68"/>
    </row>
    <row r="233" spans="1:22" x14ac:dyDescent="0.3">
      <c r="A233" s="41" t="s">
        <v>21</v>
      </c>
      <c r="B233" s="51">
        <v>17.035</v>
      </c>
      <c r="C233" s="58">
        <v>2000535935</v>
      </c>
      <c r="D233" s="86">
        <v>12.72</v>
      </c>
      <c r="E233" s="86"/>
      <c r="F233" s="52">
        <v>1800</v>
      </c>
      <c r="G233" s="53">
        <v>2400</v>
      </c>
      <c r="H233" s="52">
        <v>4</v>
      </c>
      <c r="I233" s="45"/>
      <c r="J233" s="41">
        <v>376</v>
      </c>
      <c r="K233" s="54" t="s">
        <v>23</v>
      </c>
      <c r="L233" s="54" t="s">
        <v>24</v>
      </c>
      <c r="M233" s="57">
        <v>198783</v>
      </c>
      <c r="N233" s="57">
        <v>15627</v>
      </c>
      <c r="O233" s="57">
        <v>67586</v>
      </c>
      <c r="P233" s="57">
        <v>266369</v>
      </c>
      <c r="Q233" s="77">
        <v>0.4</v>
      </c>
      <c r="R233" s="57">
        <v>106548</v>
      </c>
      <c r="S233" s="57">
        <v>372916.46</v>
      </c>
      <c r="T233" s="106">
        <f>IF(A233="Upgrade",IF(OR(H233=4,H233=5),_xlfn.XLOOKUP(I233,'Renewal Rates'!$A$22:$A$27,'Renewal Rates'!$B$22:$B$27,'Renewal Rates'!$B$27,0),'Renewal Rates'!$F$7),IF(A233="Renewal",100%,0%))</f>
        <v>0.116578</v>
      </c>
      <c r="U233" s="68">
        <f t="shared" si="3"/>
        <v>43473.855073880004</v>
      </c>
      <c r="V233" s="68"/>
    </row>
    <row r="234" spans="1:22" x14ac:dyDescent="0.3">
      <c r="A234" s="41" t="s">
        <v>21</v>
      </c>
      <c r="B234" s="51">
        <v>17.033999999999999</v>
      </c>
      <c r="C234" s="58">
        <v>2000477950</v>
      </c>
      <c r="D234" s="86">
        <v>46.92</v>
      </c>
      <c r="E234" s="86"/>
      <c r="F234" s="52">
        <v>375</v>
      </c>
      <c r="G234" s="53">
        <v>825</v>
      </c>
      <c r="H234" s="52" t="s">
        <v>122</v>
      </c>
      <c r="I234" s="45" t="s">
        <v>122</v>
      </c>
      <c r="J234" s="41">
        <v>376</v>
      </c>
      <c r="K234" s="54" t="s">
        <v>23</v>
      </c>
      <c r="L234" s="54" t="s">
        <v>24</v>
      </c>
      <c r="M234" s="57">
        <v>241176</v>
      </c>
      <c r="N234" s="57">
        <v>5140</v>
      </c>
      <c r="O234" s="57">
        <v>82000</v>
      </c>
      <c r="P234" s="57">
        <v>323175</v>
      </c>
      <c r="Q234" s="77">
        <v>0.4</v>
      </c>
      <c r="R234" s="57">
        <v>129270</v>
      </c>
      <c r="S234" s="57">
        <v>452445.61</v>
      </c>
      <c r="T234" s="106">
        <f>IF(A234="Upgrade",IF(OR(H234=4,H234=5),_xlfn.XLOOKUP(I234,'Renewal Rates'!$A$22:$A$27,'Renewal Rates'!$B$22:$B$27,'Renewal Rates'!$B$27,0),'Renewal Rates'!$F$7),IF(A234="Renewal",100%,0%))</f>
        <v>2.6599999999999999E-2</v>
      </c>
      <c r="U234" s="68">
        <f t="shared" si="3"/>
        <v>12035.053225999998</v>
      </c>
      <c r="V234" s="68"/>
    </row>
    <row r="235" spans="1:22" x14ac:dyDescent="0.3">
      <c r="A235" s="41" t="s">
        <v>21</v>
      </c>
      <c r="B235" s="51">
        <v>17.036000000000001</v>
      </c>
      <c r="C235" s="58">
        <v>2000374905</v>
      </c>
      <c r="D235" s="86">
        <v>69.02</v>
      </c>
      <c r="E235" s="86"/>
      <c r="F235" s="52">
        <v>975</v>
      </c>
      <c r="G235" s="53">
        <v>1650</v>
      </c>
      <c r="H235" s="52" t="s">
        <v>122</v>
      </c>
      <c r="I235" s="45" t="s">
        <v>122</v>
      </c>
      <c r="J235" s="41">
        <v>376</v>
      </c>
      <c r="K235" s="54" t="s">
        <v>23</v>
      </c>
      <c r="L235" s="54" t="s">
        <v>24</v>
      </c>
      <c r="M235" s="57">
        <v>639435</v>
      </c>
      <c r="N235" s="57">
        <v>9264</v>
      </c>
      <c r="O235" s="57">
        <v>217408</v>
      </c>
      <c r="P235" s="57">
        <v>856843</v>
      </c>
      <c r="Q235" s="77">
        <v>0.4</v>
      </c>
      <c r="R235" s="57">
        <v>342737</v>
      </c>
      <c r="S235" s="57">
        <v>1199580.6399999999</v>
      </c>
      <c r="T235" s="106">
        <f>IF(A235="Upgrade",IF(OR(H235=4,H235=5),_xlfn.XLOOKUP(I235,'Renewal Rates'!$A$22:$A$27,'Renewal Rates'!$B$22:$B$27,'Renewal Rates'!$B$27,0),'Renewal Rates'!$F$7),IF(A235="Renewal",100%,0%))</f>
        <v>2.6599999999999999E-2</v>
      </c>
      <c r="U235" s="68">
        <f t="shared" si="3"/>
        <v>31908.845023999995</v>
      </c>
      <c r="V235" s="68"/>
    </row>
    <row r="236" spans="1:22" x14ac:dyDescent="0.3">
      <c r="A236" s="41" t="s">
        <v>21</v>
      </c>
      <c r="B236" s="51">
        <v>8.0239999999999991</v>
      </c>
      <c r="C236" s="58">
        <v>2000892807</v>
      </c>
      <c r="D236" s="86">
        <v>67.83</v>
      </c>
      <c r="E236" s="86"/>
      <c r="F236" s="52">
        <v>225</v>
      </c>
      <c r="G236" s="53">
        <v>525</v>
      </c>
      <c r="H236" s="52" t="s">
        <v>122</v>
      </c>
      <c r="I236" s="45" t="s">
        <v>122</v>
      </c>
      <c r="J236" s="41">
        <v>368</v>
      </c>
      <c r="K236" s="54" t="s">
        <v>23</v>
      </c>
      <c r="L236" s="54" t="s">
        <v>24</v>
      </c>
      <c r="M236" s="57">
        <v>219195</v>
      </c>
      <c r="N236" s="57">
        <v>3232</v>
      </c>
      <c r="O236" s="57">
        <v>74526</v>
      </c>
      <c r="P236" s="57">
        <v>293721</v>
      </c>
      <c r="Q236" s="77">
        <v>0.4</v>
      </c>
      <c r="R236" s="57">
        <v>117488</v>
      </c>
      <c r="S236" s="57">
        <v>411209.36</v>
      </c>
      <c r="T236" s="106">
        <f>IF(A236="Upgrade",IF(OR(H236=4,H236=5),_xlfn.XLOOKUP(I236,'Renewal Rates'!$A$22:$A$27,'Renewal Rates'!$B$22:$B$27,'Renewal Rates'!$B$27,0),'Renewal Rates'!$F$7),IF(A236="Renewal",100%,0%))</f>
        <v>2.6599999999999999E-2</v>
      </c>
      <c r="U236" s="68">
        <f t="shared" si="3"/>
        <v>10938.168975999999</v>
      </c>
      <c r="V236" s="68"/>
    </row>
    <row r="237" spans="1:22" x14ac:dyDescent="0.3">
      <c r="A237" s="41" t="s">
        <v>21</v>
      </c>
      <c r="B237" s="51">
        <v>17.035</v>
      </c>
      <c r="C237" s="58">
        <v>2000748564</v>
      </c>
      <c r="D237" s="86">
        <v>13.84</v>
      </c>
      <c r="E237" s="86"/>
      <c r="F237" s="52">
        <v>1800</v>
      </c>
      <c r="G237" s="53">
        <v>2400</v>
      </c>
      <c r="H237" s="52">
        <v>5</v>
      </c>
      <c r="I237" s="45"/>
      <c r="J237" s="41">
        <v>376</v>
      </c>
      <c r="K237" s="54" t="s">
        <v>23</v>
      </c>
      <c r="L237" s="54" t="s">
        <v>24</v>
      </c>
      <c r="M237" s="57">
        <v>204591</v>
      </c>
      <c r="N237" s="57">
        <v>14786</v>
      </c>
      <c r="O237" s="57">
        <v>69561</v>
      </c>
      <c r="P237" s="57">
        <v>274152</v>
      </c>
      <c r="Q237" s="77">
        <v>0.4</v>
      </c>
      <c r="R237" s="57">
        <v>109661</v>
      </c>
      <c r="S237" s="57">
        <v>383812.57</v>
      </c>
      <c r="T237" s="106">
        <f>IF(A237="Upgrade",IF(OR(H237=4,H237=5),_xlfn.XLOOKUP(I237,'Renewal Rates'!$A$22:$A$27,'Renewal Rates'!$B$22:$B$27,'Renewal Rates'!$B$27,0),'Renewal Rates'!$F$7),IF(A237="Renewal",100%,0%))</f>
        <v>0.116578</v>
      </c>
      <c r="U237" s="68">
        <f t="shared" si="3"/>
        <v>44744.10178546</v>
      </c>
      <c r="V237" s="68"/>
    </row>
    <row r="238" spans="1:22" x14ac:dyDescent="0.3">
      <c r="A238" s="41" t="s">
        <v>21</v>
      </c>
      <c r="B238" s="51">
        <v>9.0069999999999997</v>
      </c>
      <c r="C238" s="58">
        <v>2000155248</v>
      </c>
      <c r="D238" s="86">
        <v>10.220000000000001</v>
      </c>
      <c r="E238" s="86"/>
      <c r="F238" s="52">
        <v>225</v>
      </c>
      <c r="G238" s="53">
        <v>900</v>
      </c>
      <c r="H238" s="52" t="s">
        <v>122</v>
      </c>
      <c r="I238" s="45" t="s">
        <v>122</v>
      </c>
      <c r="J238" s="41">
        <v>368</v>
      </c>
      <c r="K238" s="54" t="s">
        <v>23</v>
      </c>
      <c r="L238" s="54" t="s">
        <v>24</v>
      </c>
      <c r="M238" s="57">
        <v>115218</v>
      </c>
      <c r="N238" s="57">
        <v>11271</v>
      </c>
      <c r="O238" s="57">
        <v>39174</v>
      </c>
      <c r="P238" s="57">
        <v>154391</v>
      </c>
      <c r="Q238" s="77">
        <v>0.4</v>
      </c>
      <c r="R238" s="57">
        <v>61757</v>
      </c>
      <c r="S238" s="57">
        <v>216148.09</v>
      </c>
      <c r="T238" s="106">
        <f>IF(A238="Upgrade",IF(OR(H238=4,H238=5),_xlfn.XLOOKUP(I238,'Renewal Rates'!$A$22:$A$27,'Renewal Rates'!$B$22:$B$27,'Renewal Rates'!$B$27,0),'Renewal Rates'!$F$7),IF(A238="Renewal",100%,0%))</f>
        <v>2.6599999999999999E-2</v>
      </c>
      <c r="U238" s="68">
        <f t="shared" si="3"/>
        <v>5749.539194</v>
      </c>
      <c r="V238" s="68"/>
    </row>
    <row r="239" spans="1:22" x14ac:dyDescent="0.3">
      <c r="A239" s="41" t="s">
        <v>21</v>
      </c>
      <c r="B239" s="51" t="s">
        <v>41</v>
      </c>
      <c r="C239" s="58">
        <v>2000633756</v>
      </c>
      <c r="D239" s="86">
        <v>21.716799999999999</v>
      </c>
      <c r="E239" s="86"/>
      <c r="F239" s="52">
        <v>225</v>
      </c>
      <c r="G239" s="53">
        <v>450</v>
      </c>
      <c r="H239" s="52" t="s">
        <v>122</v>
      </c>
      <c r="I239" s="45" t="s">
        <v>122</v>
      </c>
      <c r="J239" s="41">
        <v>376</v>
      </c>
      <c r="K239" s="54" t="s">
        <v>23</v>
      </c>
      <c r="L239" s="54" t="s">
        <v>24</v>
      </c>
      <c r="M239" s="57">
        <v>79308</v>
      </c>
      <c r="N239" s="57">
        <v>3652</v>
      </c>
      <c r="O239" s="57">
        <v>26965</v>
      </c>
      <c r="P239" s="57">
        <v>106272</v>
      </c>
      <c r="Q239" s="77">
        <v>0.4</v>
      </c>
      <c r="R239" s="57">
        <v>42509</v>
      </c>
      <c r="S239" s="57">
        <v>148781.24</v>
      </c>
      <c r="T239" s="106">
        <f>IF(A239="Upgrade",IF(OR(H239=4,H239=5),_xlfn.XLOOKUP(I239,'Renewal Rates'!$A$22:$A$27,'Renewal Rates'!$B$22:$B$27,'Renewal Rates'!$B$27,0),'Renewal Rates'!$F$7),IF(A239="Renewal",100%,0%))</f>
        <v>2.6599999999999999E-2</v>
      </c>
      <c r="U239" s="68">
        <f t="shared" si="3"/>
        <v>3957.5809839999997</v>
      </c>
      <c r="V239" s="68"/>
    </row>
    <row r="240" spans="1:22" x14ac:dyDescent="0.3">
      <c r="A240" s="41" t="s">
        <v>21</v>
      </c>
      <c r="B240" s="51">
        <v>8.0169999999999995</v>
      </c>
      <c r="C240" s="58">
        <v>2000249802</v>
      </c>
      <c r="D240" s="86">
        <v>46.89</v>
      </c>
      <c r="E240" s="86"/>
      <c r="F240" s="52">
        <v>300</v>
      </c>
      <c r="G240" s="53">
        <v>450</v>
      </c>
      <c r="H240" s="52">
        <v>4</v>
      </c>
      <c r="I240" s="45">
        <v>2</v>
      </c>
      <c r="J240" s="41">
        <v>368</v>
      </c>
      <c r="K240" s="54" t="s">
        <v>23</v>
      </c>
      <c r="L240" s="54" t="s">
        <v>24</v>
      </c>
      <c r="M240" s="57">
        <v>136123</v>
      </c>
      <c r="N240" s="57">
        <v>2903</v>
      </c>
      <c r="O240" s="57">
        <v>46282</v>
      </c>
      <c r="P240" s="57">
        <v>182405</v>
      </c>
      <c r="Q240" s="77">
        <v>0.4</v>
      </c>
      <c r="R240" s="57">
        <v>72962</v>
      </c>
      <c r="S240" s="57">
        <v>255366.72</v>
      </c>
      <c r="T240" s="106">
        <f>IF(A240="Upgrade",IF(OR(H240=4,H240=5),_xlfn.XLOOKUP(I240,'Renewal Rates'!$A$22:$A$27,'Renewal Rates'!$B$22:$B$27,'Renewal Rates'!$B$27,0),'Renewal Rates'!$F$7),IF(A240="Renewal",100%,0%))</f>
        <v>0</v>
      </c>
      <c r="U240" s="68">
        <f t="shared" si="3"/>
        <v>0</v>
      </c>
      <c r="V240" s="68"/>
    </row>
    <row r="241" spans="1:22" x14ac:dyDescent="0.3">
      <c r="A241" s="41" t="s">
        <v>21</v>
      </c>
      <c r="B241" s="51">
        <v>17.016999999999999</v>
      </c>
      <c r="C241" s="58">
        <v>2000622769</v>
      </c>
      <c r="D241" s="86">
        <v>45.91</v>
      </c>
      <c r="E241" s="86"/>
      <c r="F241" s="52">
        <v>225</v>
      </c>
      <c r="G241" s="53">
        <v>750</v>
      </c>
      <c r="H241" s="52" t="s">
        <v>122</v>
      </c>
      <c r="I241" s="45" t="s">
        <v>122</v>
      </c>
      <c r="J241" s="41">
        <v>376</v>
      </c>
      <c r="K241" s="54" t="s">
        <v>23</v>
      </c>
      <c r="L241" s="54" t="s">
        <v>24</v>
      </c>
      <c r="M241" s="57">
        <v>189715</v>
      </c>
      <c r="N241" s="57">
        <v>4133</v>
      </c>
      <c r="O241" s="57">
        <v>64503</v>
      </c>
      <c r="P241" s="57">
        <v>254219</v>
      </c>
      <c r="Q241" s="77">
        <v>0.4</v>
      </c>
      <c r="R241" s="57">
        <v>101687</v>
      </c>
      <c r="S241" s="57">
        <v>355906</v>
      </c>
      <c r="T241" s="106">
        <f>IF(A241="Upgrade",IF(OR(H241=4,H241=5),_xlfn.XLOOKUP(I241,'Renewal Rates'!$A$22:$A$27,'Renewal Rates'!$B$22:$B$27,'Renewal Rates'!$B$27,0),'Renewal Rates'!$F$7),IF(A241="Renewal",100%,0%))</f>
        <v>2.6599999999999999E-2</v>
      </c>
      <c r="U241" s="68">
        <f t="shared" si="3"/>
        <v>9467.0995999999996</v>
      </c>
      <c r="V241" s="68"/>
    </row>
    <row r="242" spans="1:22" x14ac:dyDescent="0.3">
      <c r="A242" s="41" t="s">
        <v>21</v>
      </c>
      <c r="B242" s="51">
        <v>1.0109999999999999</v>
      </c>
      <c r="C242" s="58">
        <v>2000706286</v>
      </c>
      <c r="D242" s="86">
        <v>7.35</v>
      </c>
      <c r="E242" s="86"/>
      <c r="F242" s="52">
        <v>225</v>
      </c>
      <c r="G242" s="53">
        <v>525</v>
      </c>
      <c r="H242" s="52" t="s">
        <v>122</v>
      </c>
      <c r="I242" s="45" t="s">
        <v>122</v>
      </c>
      <c r="J242" s="41">
        <v>368</v>
      </c>
      <c r="K242" s="54" t="s">
        <v>23</v>
      </c>
      <c r="L242" s="54" t="s">
        <v>24</v>
      </c>
      <c r="M242" s="57">
        <v>50361</v>
      </c>
      <c r="N242" s="57">
        <v>6831</v>
      </c>
      <c r="O242" s="57">
        <v>17123</v>
      </c>
      <c r="P242" s="57">
        <v>67484</v>
      </c>
      <c r="Q242" s="77">
        <v>0.4</v>
      </c>
      <c r="R242" s="57">
        <v>26994</v>
      </c>
      <c r="S242" s="57">
        <v>94477.73</v>
      </c>
      <c r="T242" s="106">
        <f>IF(A242="Upgrade",IF(OR(H242=4,H242=5),_xlfn.XLOOKUP(I242,'Renewal Rates'!$A$22:$A$27,'Renewal Rates'!$B$22:$B$27,'Renewal Rates'!$B$27,0),'Renewal Rates'!$F$7),IF(A242="Renewal",100%,0%))</f>
        <v>2.6599999999999999E-2</v>
      </c>
      <c r="U242" s="68">
        <f t="shared" si="3"/>
        <v>2513.1076179999995</v>
      </c>
      <c r="V242" s="68"/>
    </row>
    <row r="243" spans="1:22" x14ac:dyDescent="0.3">
      <c r="A243" s="41" t="s">
        <v>21</v>
      </c>
      <c r="B243" s="51">
        <v>8.01</v>
      </c>
      <c r="C243" s="58">
        <v>2000478148</v>
      </c>
      <c r="D243" s="86">
        <v>52.838731000000003</v>
      </c>
      <c r="E243" s="86"/>
      <c r="F243" s="52">
        <v>375</v>
      </c>
      <c r="G243" s="53">
        <v>750</v>
      </c>
      <c r="H243" s="52">
        <v>4</v>
      </c>
      <c r="I243" s="45">
        <v>1</v>
      </c>
      <c r="J243" s="41">
        <v>368</v>
      </c>
      <c r="K243" s="54" t="s">
        <v>23</v>
      </c>
      <c r="L243" s="54" t="s">
        <v>24</v>
      </c>
      <c r="M243" s="57">
        <v>243073</v>
      </c>
      <c r="N243" s="57">
        <v>4600</v>
      </c>
      <c r="O243" s="57">
        <v>82645</v>
      </c>
      <c r="P243" s="57">
        <v>325718</v>
      </c>
      <c r="Q243" s="77">
        <v>0.4</v>
      </c>
      <c r="R243" s="57">
        <v>130287</v>
      </c>
      <c r="S243" s="57">
        <v>456005.2</v>
      </c>
      <c r="T243" s="106">
        <f>IF(A243="Upgrade",IF(OR(H243=4,H243=5),_xlfn.XLOOKUP(I243,'Renewal Rates'!$A$22:$A$27,'Renewal Rates'!$B$22:$B$27,'Renewal Rates'!$B$27,0),'Renewal Rates'!$F$7),IF(A243="Renewal",100%,0%))</f>
        <v>0</v>
      </c>
      <c r="U243" s="68">
        <f t="shared" si="3"/>
        <v>0</v>
      </c>
      <c r="V243" s="68"/>
    </row>
    <row r="244" spans="1:22" x14ac:dyDescent="0.3">
      <c r="A244" s="41" t="s">
        <v>21</v>
      </c>
      <c r="B244" s="51">
        <v>9.0150000000000006</v>
      </c>
      <c r="C244" s="58">
        <v>2000721088</v>
      </c>
      <c r="D244" s="86">
        <v>62.3</v>
      </c>
      <c r="E244" s="86"/>
      <c r="F244" s="52">
        <v>450</v>
      </c>
      <c r="G244" s="53">
        <v>825</v>
      </c>
      <c r="H244" s="52" t="s">
        <v>122</v>
      </c>
      <c r="I244" s="45" t="s">
        <v>122</v>
      </c>
      <c r="J244" s="41">
        <v>375</v>
      </c>
      <c r="K244" s="54" t="s">
        <v>23</v>
      </c>
      <c r="L244" s="54" t="s">
        <v>24</v>
      </c>
      <c r="M244" s="57">
        <v>327521</v>
      </c>
      <c r="N244" s="57">
        <v>5257</v>
      </c>
      <c r="O244" s="57">
        <v>111357</v>
      </c>
      <c r="P244" s="57">
        <v>438878</v>
      </c>
      <c r="Q244" s="77">
        <v>0.4</v>
      </c>
      <c r="R244" s="57">
        <v>175551</v>
      </c>
      <c r="S244" s="57">
        <v>614428.81999999995</v>
      </c>
      <c r="T244" s="106">
        <f>IF(A244="Upgrade",IF(OR(H244=4,H244=5),_xlfn.XLOOKUP(I244,'Renewal Rates'!$A$22:$A$27,'Renewal Rates'!$B$22:$B$27,'Renewal Rates'!$B$27,0),'Renewal Rates'!$F$7),IF(A244="Renewal",100%,0%))</f>
        <v>2.6599999999999999E-2</v>
      </c>
      <c r="U244" s="68">
        <f t="shared" si="3"/>
        <v>16343.806611999998</v>
      </c>
      <c r="V244" s="68"/>
    </row>
    <row r="245" spans="1:22" x14ac:dyDescent="0.3">
      <c r="A245" s="41" t="s">
        <v>21</v>
      </c>
      <c r="B245" s="51">
        <v>17.03</v>
      </c>
      <c r="C245" s="58">
        <v>2000694125</v>
      </c>
      <c r="D245" s="86">
        <v>44.29</v>
      </c>
      <c r="E245" s="86"/>
      <c r="F245" s="52">
        <v>450</v>
      </c>
      <c r="G245" s="53">
        <v>675</v>
      </c>
      <c r="H245" s="52">
        <v>4</v>
      </c>
      <c r="I245" s="45">
        <v>2</v>
      </c>
      <c r="J245" s="41">
        <v>376</v>
      </c>
      <c r="K245" s="54" t="s">
        <v>23</v>
      </c>
      <c r="L245" s="54" t="s">
        <v>24</v>
      </c>
      <c r="M245" s="57">
        <v>204158</v>
      </c>
      <c r="N245" s="57">
        <v>4609</v>
      </c>
      <c r="O245" s="57">
        <v>69414</v>
      </c>
      <c r="P245" s="57">
        <v>273572</v>
      </c>
      <c r="Q245" s="77">
        <v>0.4</v>
      </c>
      <c r="R245" s="57">
        <v>109429</v>
      </c>
      <c r="S245" s="57">
        <v>383000.36</v>
      </c>
      <c r="T245" s="106">
        <f>IF(A245="Upgrade",IF(OR(H245=4,H245=5),_xlfn.XLOOKUP(I245,'Renewal Rates'!$A$22:$A$27,'Renewal Rates'!$B$22:$B$27,'Renewal Rates'!$B$27,0),'Renewal Rates'!$F$7),IF(A245="Renewal",100%,0%))</f>
        <v>0</v>
      </c>
      <c r="U245" s="68">
        <f t="shared" si="3"/>
        <v>0</v>
      </c>
      <c r="V245" s="68"/>
    </row>
    <row r="246" spans="1:22" x14ac:dyDescent="0.3">
      <c r="A246" s="41" t="s">
        <v>21</v>
      </c>
      <c r="B246" s="51">
        <v>4.008</v>
      </c>
      <c r="C246" s="58">
        <v>2000453841</v>
      </c>
      <c r="D246" s="86">
        <v>64.56</v>
      </c>
      <c r="E246" s="86"/>
      <c r="F246" s="52">
        <v>375</v>
      </c>
      <c r="G246" s="53">
        <v>825</v>
      </c>
      <c r="H246" s="52" t="s">
        <v>122</v>
      </c>
      <c r="I246" s="45" t="s">
        <v>122</v>
      </c>
      <c r="J246" s="41">
        <v>374</v>
      </c>
      <c r="K246" s="54" t="s">
        <v>23</v>
      </c>
      <c r="L246" s="54" t="s">
        <v>24</v>
      </c>
      <c r="M246" s="57">
        <v>330962</v>
      </c>
      <c r="N246" s="57">
        <v>5126</v>
      </c>
      <c r="O246" s="57">
        <v>112527</v>
      </c>
      <c r="P246" s="57">
        <v>443489</v>
      </c>
      <c r="Q246" s="77">
        <v>0.4</v>
      </c>
      <c r="R246" s="57">
        <v>177396</v>
      </c>
      <c r="S246" s="57">
        <v>620885.12096800003</v>
      </c>
      <c r="T246" s="106">
        <f>IF(A246="Upgrade",IF(OR(H246=4,H246=5),_xlfn.XLOOKUP(I246,'Renewal Rates'!$A$22:$A$27,'Renewal Rates'!$B$22:$B$27,'Renewal Rates'!$B$27,0),'Renewal Rates'!$F$7),IF(A246="Renewal",100%,0%))</f>
        <v>2.6599999999999999E-2</v>
      </c>
      <c r="U246" s="68">
        <f t="shared" si="3"/>
        <v>16515.5442177488</v>
      </c>
      <c r="V246" s="68"/>
    </row>
    <row r="247" spans="1:22" x14ac:dyDescent="0.3">
      <c r="A247" s="41" t="s">
        <v>21</v>
      </c>
      <c r="B247" s="51">
        <v>8.0079999999999991</v>
      </c>
      <c r="C247" s="58">
        <v>2000809929</v>
      </c>
      <c r="D247" s="86">
        <v>9.06</v>
      </c>
      <c r="E247" s="86"/>
      <c r="F247" s="52">
        <v>300</v>
      </c>
      <c r="G247" s="53">
        <v>600</v>
      </c>
      <c r="H247" s="52" t="s">
        <v>122</v>
      </c>
      <c r="I247" s="45" t="s">
        <v>122</v>
      </c>
      <c r="J247" s="41">
        <v>368</v>
      </c>
      <c r="K247" s="54" t="s">
        <v>23</v>
      </c>
      <c r="L247" s="54" t="s">
        <v>24</v>
      </c>
      <c r="M247" s="57">
        <v>52827</v>
      </c>
      <c r="N247" s="57">
        <v>5832</v>
      </c>
      <c r="O247" s="57">
        <v>17961</v>
      </c>
      <c r="P247" s="57">
        <v>70789</v>
      </c>
      <c r="Q247" s="77">
        <v>0.4</v>
      </c>
      <c r="R247" s="57">
        <v>28315</v>
      </c>
      <c r="S247" s="57">
        <v>99104.05</v>
      </c>
      <c r="T247" s="106">
        <f>IF(A247="Upgrade",IF(OR(H247=4,H247=5),_xlfn.XLOOKUP(I247,'Renewal Rates'!$A$22:$A$27,'Renewal Rates'!$B$22:$B$27,'Renewal Rates'!$B$27,0),'Renewal Rates'!$F$7),IF(A247="Renewal",100%,0%))</f>
        <v>2.6599999999999999E-2</v>
      </c>
      <c r="U247" s="68">
        <f t="shared" si="3"/>
        <v>2636.1677300000001</v>
      </c>
      <c r="V247" s="68"/>
    </row>
    <row r="248" spans="1:22" x14ac:dyDescent="0.3">
      <c r="A248" s="41" t="s">
        <v>21</v>
      </c>
      <c r="B248" s="51">
        <v>4.032</v>
      </c>
      <c r="C248" s="58">
        <v>2000207751</v>
      </c>
      <c r="D248" s="86">
        <v>55.92</v>
      </c>
      <c r="E248" s="86"/>
      <c r="F248" s="52">
        <v>450</v>
      </c>
      <c r="G248" s="53">
        <v>600</v>
      </c>
      <c r="H248" s="52" t="s">
        <v>122</v>
      </c>
      <c r="I248" s="45" t="s">
        <v>122</v>
      </c>
      <c r="J248" s="41">
        <v>374</v>
      </c>
      <c r="K248" s="54" t="s">
        <v>23</v>
      </c>
      <c r="L248" s="54" t="s">
        <v>24</v>
      </c>
      <c r="M248" s="57">
        <v>197453</v>
      </c>
      <c r="N248" s="57">
        <v>3531</v>
      </c>
      <c r="O248" s="57">
        <v>67134</v>
      </c>
      <c r="P248" s="57">
        <v>264587</v>
      </c>
      <c r="Q248" s="77">
        <v>0.4</v>
      </c>
      <c r="R248" s="57">
        <v>105835</v>
      </c>
      <c r="S248" s="57">
        <v>370421.9951516001</v>
      </c>
      <c r="T248" s="106">
        <f>IF(A248="Upgrade",IF(OR(H248=4,H248=5),_xlfn.XLOOKUP(I248,'Renewal Rates'!$A$22:$A$27,'Renewal Rates'!$B$22:$B$27,'Renewal Rates'!$B$27,0),'Renewal Rates'!$F$7),IF(A248="Renewal",100%,0%))</f>
        <v>2.6599999999999999E-2</v>
      </c>
      <c r="U248" s="68">
        <f t="shared" si="3"/>
        <v>9853.2250710325625</v>
      </c>
      <c r="V248" s="68"/>
    </row>
    <row r="249" spans="1:22" x14ac:dyDescent="0.3">
      <c r="A249" s="41" t="s">
        <v>21</v>
      </c>
      <c r="B249" s="51">
        <v>4.0069999999999997</v>
      </c>
      <c r="C249" s="58">
        <v>2000012207</v>
      </c>
      <c r="D249" s="86">
        <v>43.8</v>
      </c>
      <c r="E249" s="86"/>
      <c r="F249" s="52">
        <v>375</v>
      </c>
      <c r="G249" s="53">
        <v>750</v>
      </c>
      <c r="H249" s="52" t="s">
        <v>122</v>
      </c>
      <c r="I249" s="45" t="s">
        <v>122</v>
      </c>
      <c r="J249" s="41">
        <v>374</v>
      </c>
      <c r="K249" s="54" t="s">
        <v>23</v>
      </c>
      <c r="L249" s="54" t="s">
        <v>24</v>
      </c>
      <c r="M249" s="57">
        <v>186846</v>
      </c>
      <c r="N249" s="57">
        <v>4266</v>
      </c>
      <c r="O249" s="57">
        <v>63528</v>
      </c>
      <c r="P249" s="57">
        <v>250374</v>
      </c>
      <c r="Q249" s="77">
        <v>0.4</v>
      </c>
      <c r="R249" s="57">
        <v>100150</v>
      </c>
      <c r="S249" s="57">
        <v>350523.78786879999</v>
      </c>
      <c r="T249" s="106">
        <f>IF(A249="Upgrade",IF(OR(H249=4,H249=5),_xlfn.XLOOKUP(I249,'Renewal Rates'!$A$22:$A$27,'Renewal Rates'!$B$22:$B$27,'Renewal Rates'!$B$27,0),'Renewal Rates'!$F$7),IF(A249="Renewal",100%,0%))</f>
        <v>2.6599999999999999E-2</v>
      </c>
      <c r="U249" s="68">
        <f t="shared" si="3"/>
        <v>9323.93275731008</v>
      </c>
      <c r="V249" s="68"/>
    </row>
    <row r="250" spans="1:22" x14ac:dyDescent="0.3">
      <c r="A250" s="41" t="s">
        <v>21</v>
      </c>
      <c r="B250" s="51">
        <v>2.0110000000000001</v>
      </c>
      <c r="C250" s="58">
        <v>2000063054</v>
      </c>
      <c r="D250" s="86">
        <v>14.24</v>
      </c>
      <c r="E250" s="86"/>
      <c r="F250" s="52">
        <v>300</v>
      </c>
      <c r="G250" s="53">
        <v>525</v>
      </c>
      <c r="H250" s="52" t="s">
        <v>122</v>
      </c>
      <c r="I250" s="45" t="s">
        <v>122</v>
      </c>
      <c r="J250" s="41">
        <v>376</v>
      </c>
      <c r="K250" s="54" t="s">
        <v>23</v>
      </c>
      <c r="L250" s="54" t="s">
        <v>24</v>
      </c>
      <c r="M250" s="57">
        <v>75795</v>
      </c>
      <c r="N250" s="57">
        <v>5322</v>
      </c>
      <c r="O250" s="57">
        <v>25770</v>
      </c>
      <c r="P250" s="57">
        <v>101565</v>
      </c>
      <c r="Q250" s="77">
        <v>0.4</v>
      </c>
      <c r="R250" s="57">
        <v>40626</v>
      </c>
      <c r="S250" s="57">
        <v>142191.07</v>
      </c>
      <c r="T250" s="106">
        <f>IF(A250="Upgrade",IF(OR(H250=4,H250=5),_xlfn.XLOOKUP(I250,'Renewal Rates'!$A$22:$A$27,'Renewal Rates'!$B$22:$B$27,'Renewal Rates'!$B$27,0),'Renewal Rates'!$F$7),IF(A250="Renewal",100%,0%))</f>
        <v>2.6599999999999999E-2</v>
      </c>
      <c r="U250" s="68">
        <f t="shared" si="3"/>
        <v>3782.2824620000001</v>
      </c>
      <c r="V250" s="68"/>
    </row>
    <row r="251" spans="1:22" x14ac:dyDescent="0.3">
      <c r="A251" s="41" t="s">
        <v>21</v>
      </c>
      <c r="B251" s="51">
        <v>17.016999999999999</v>
      </c>
      <c r="C251" s="58">
        <v>2000923377</v>
      </c>
      <c r="D251" s="86">
        <v>20.170000000000002</v>
      </c>
      <c r="E251" s="86"/>
      <c r="F251" s="52">
        <v>225</v>
      </c>
      <c r="G251" s="53">
        <v>750</v>
      </c>
      <c r="H251" s="52" t="s">
        <v>122</v>
      </c>
      <c r="I251" s="45" t="s">
        <v>122</v>
      </c>
      <c r="J251" s="41">
        <v>376</v>
      </c>
      <c r="K251" s="54" t="s">
        <v>23</v>
      </c>
      <c r="L251" s="54" t="s">
        <v>24</v>
      </c>
      <c r="M251" s="57">
        <v>115846</v>
      </c>
      <c r="N251" s="57">
        <v>5744</v>
      </c>
      <c r="O251" s="57">
        <v>39388</v>
      </c>
      <c r="P251" s="57">
        <v>155234</v>
      </c>
      <c r="Q251" s="77">
        <v>0.4</v>
      </c>
      <c r="R251" s="57">
        <v>62094</v>
      </c>
      <c r="S251" s="57">
        <v>217327.58</v>
      </c>
      <c r="T251" s="106">
        <f>IF(A251="Upgrade",IF(OR(H251=4,H251=5),_xlfn.XLOOKUP(I251,'Renewal Rates'!$A$22:$A$27,'Renewal Rates'!$B$22:$B$27,'Renewal Rates'!$B$27,0),'Renewal Rates'!$F$7),IF(A251="Renewal",100%,0%))</f>
        <v>2.6599999999999999E-2</v>
      </c>
      <c r="U251" s="68">
        <f t="shared" si="3"/>
        <v>5780.9136279999993</v>
      </c>
      <c r="V251" s="68"/>
    </row>
    <row r="252" spans="1:22" x14ac:dyDescent="0.3">
      <c r="A252" s="41" t="s">
        <v>21</v>
      </c>
      <c r="B252" s="51">
        <v>13.01</v>
      </c>
      <c r="C252" s="58">
        <v>2000216006</v>
      </c>
      <c r="D252" s="86">
        <v>60.52</v>
      </c>
      <c r="E252" s="86"/>
      <c r="F252" s="52">
        <v>375</v>
      </c>
      <c r="G252" s="53">
        <v>825</v>
      </c>
      <c r="H252" s="52">
        <v>4</v>
      </c>
      <c r="I252" s="45">
        <v>3</v>
      </c>
      <c r="J252" s="41">
        <v>377</v>
      </c>
      <c r="K252" s="54" t="s">
        <v>23</v>
      </c>
      <c r="L252" s="54" t="s">
        <v>24</v>
      </c>
      <c r="M252" s="57">
        <v>281960</v>
      </c>
      <c r="N252" s="57">
        <v>4659</v>
      </c>
      <c r="O252" s="57">
        <v>95866</v>
      </c>
      <c r="P252" s="57">
        <v>377826</v>
      </c>
      <c r="Q252" s="77">
        <v>0.4</v>
      </c>
      <c r="R252" s="57">
        <v>151130</v>
      </c>
      <c r="S252" s="57">
        <v>528956.04</v>
      </c>
      <c r="T252" s="106">
        <f>IF(A252="Upgrade",IF(OR(H252=4,H252=5),_xlfn.XLOOKUP(I252,'Renewal Rates'!$A$22:$A$27,'Renewal Rates'!$B$22:$B$27,'Renewal Rates'!$B$27,0),'Renewal Rates'!$F$7),IF(A252="Renewal",100%,0%))</f>
        <v>0.21</v>
      </c>
      <c r="U252" s="68">
        <f t="shared" si="3"/>
        <v>111080.7684</v>
      </c>
      <c r="V252" s="68"/>
    </row>
    <row r="253" spans="1:22" x14ac:dyDescent="0.3">
      <c r="A253" s="41" t="s">
        <v>21</v>
      </c>
      <c r="B253" s="51">
        <v>16.015000000000001</v>
      </c>
      <c r="C253" s="58">
        <v>3000042697</v>
      </c>
      <c r="D253" s="86">
        <v>5.13</v>
      </c>
      <c r="E253" s="86"/>
      <c r="F253" s="52">
        <v>225</v>
      </c>
      <c r="G253" s="53">
        <v>675</v>
      </c>
      <c r="H253" s="52" t="s">
        <v>122</v>
      </c>
      <c r="I253" s="45" t="s">
        <v>122</v>
      </c>
      <c r="J253" s="41">
        <v>376</v>
      </c>
      <c r="K253" s="54" t="s">
        <v>23</v>
      </c>
      <c r="L253" s="54" t="s">
        <v>24</v>
      </c>
      <c r="M253" s="57">
        <v>56152</v>
      </c>
      <c r="N253" s="57">
        <v>10943</v>
      </c>
      <c r="O253" s="57">
        <v>19092</v>
      </c>
      <c r="P253" s="57">
        <v>75244</v>
      </c>
      <c r="Q253" s="77">
        <v>0.4</v>
      </c>
      <c r="R253" s="57">
        <v>30098</v>
      </c>
      <c r="S253" s="57">
        <v>105341.68</v>
      </c>
      <c r="T253" s="106">
        <f>IF(A253="Upgrade",IF(OR(H253=4,H253=5),_xlfn.XLOOKUP(I253,'Renewal Rates'!$A$22:$A$27,'Renewal Rates'!$B$22:$B$27,'Renewal Rates'!$B$27,0),'Renewal Rates'!$F$7),IF(A253="Renewal",100%,0%))</f>
        <v>2.6599999999999999E-2</v>
      </c>
      <c r="U253" s="68">
        <f t="shared" si="3"/>
        <v>2802.0886879999998</v>
      </c>
      <c r="V253" s="68"/>
    </row>
    <row r="254" spans="1:22" x14ac:dyDescent="0.3">
      <c r="A254" s="41" t="s">
        <v>21</v>
      </c>
      <c r="B254" s="51">
        <v>8.01</v>
      </c>
      <c r="C254" s="58">
        <v>3000022410</v>
      </c>
      <c r="D254" s="86">
        <v>2.75</v>
      </c>
      <c r="E254" s="86"/>
      <c r="F254" s="52">
        <v>450</v>
      </c>
      <c r="G254" s="53">
        <v>750</v>
      </c>
      <c r="H254" s="52" t="s">
        <v>122</v>
      </c>
      <c r="I254" s="45" t="s">
        <v>122</v>
      </c>
      <c r="J254" s="41">
        <v>368</v>
      </c>
      <c r="K254" s="54" t="s">
        <v>23</v>
      </c>
      <c r="L254" s="54" t="s">
        <v>24</v>
      </c>
      <c r="M254" s="57">
        <v>53290</v>
      </c>
      <c r="N254" s="57">
        <v>19355</v>
      </c>
      <c r="O254" s="57">
        <v>18119</v>
      </c>
      <c r="P254" s="57">
        <v>71409</v>
      </c>
      <c r="Q254" s="77">
        <v>0.4</v>
      </c>
      <c r="R254" s="57">
        <v>28564</v>
      </c>
      <c r="S254" s="57">
        <v>99972.72</v>
      </c>
      <c r="T254" s="106">
        <f>IF(A254="Upgrade",IF(OR(H254=4,H254=5),_xlfn.XLOOKUP(I254,'Renewal Rates'!$A$22:$A$27,'Renewal Rates'!$B$22:$B$27,'Renewal Rates'!$B$27,0),'Renewal Rates'!$F$7),IF(A254="Renewal",100%,0%))</f>
        <v>2.6599999999999999E-2</v>
      </c>
      <c r="U254" s="68">
        <f t="shared" si="3"/>
        <v>2659.2743519999999</v>
      </c>
      <c r="V254" s="68"/>
    </row>
    <row r="255" spans="1:22" x14ac:dyDescent="0.3">
      <c r="A255" s="41" t="s">
        <v>21</v>
      </c>
      <c r="B255" s="51">
        <v>9.0069999999999997</v>
      </c>
      <c r="C255" s="58">
        <v>2000251568</v>
      </c>
      <c r="D255" s="86">
        <v>46.23</v>
      </c>
      <c r="E255" s="86"/>
      <c r="F255" s="52">
        <v>450</v>
      </c>
      <c r="G255" s="53">
        <v>900</v>
      </c>
      <c r="H255" s="52" t="s">
        <v>122</v>
      </c>
      <c r="I255" s="45" t="s">
        <v>122</v>
      </c>
      <c r="J255" s="41">
        <v>368</v>
      </c>
      <c r="K255" s="54" t="s">
        <v>23</v>
      </c>
      <c r="L255" s="54" t="s">
        <v>24</v>
      </c>
      <c r="M255" s="57">
        <v>243381</v>
      </c>
      <c r="N255" s="57">
        <v>5265</v>
      </c>
      <c r="O255" s="57">
        <v>82750</v>
      </c>
      <c r="P255" s="57">
        <v>326131</v>
      </c>
      <c r="Q255" s="77">
        <v>0.4</v>
      </c>
      <c r="R255" s="57">
        <v>130452</v>
      </c>
      <c r="S255" s="57">
        <v>456583.01</v>
      </c>
      <c r="T255" s="106">
        <f>IF(A255="Upgrade",IF(OR(H255=4,H255=5),_xlfn.XLOOKUP(I255,'Renewal Rates'!$A$22:$A$27,'Renewal Rates'!$B$22:$B$27,'Renewal Rates'!$B$27,0),'Renewal Rates'!$F$7),IF(A255="Renewal",100%,0%))</f>
        <v>2.6599999999999999E-2</v>
      </c>
      <c r="U255" s="68">
        <f t="shared" si="3"/>
        <v>12145.108065999999</v>
      </c>
      <c r="V255" s="68"/>
    </row>
    <row r="256" spans="1:22" x14ac:dyDescent="0.3">
      <c r="A256" s="41" t="s">
        <v>21</v>
      </c>
      <c r="B256" s="51">
        <v>9.0069999999999997</v>
      </c>
      <c r="C256" s="58">
        <v>2000604516</v>
      </c>
      <c r="D256" s="86">
        <v>5.49</v>
      </c>
      <c r="E256" s="86"/>
      <c r="F256" s="52">
        <v>225</v>
      </c>
      <c r="G256" s="53">
        <v>900</v>
      </c>
      <c r="H256" s="52" t="s">
        <v>122</v>
      </c>
      <c r="I256" s="45" t="s">
        <v>122</v>
      </c>
      <c r="J256" s="41">
        <v>368</v>
      </c>
      <c r="K256" s="54" t="s">
        <v>23</v>
      </c>
      <c r="L256" s="54" t="s">
        <v>24</v>
      </c>
      <c r="M256" s="57">
        <v>61138</v>
      </c>
      <c r="N256" s="57">
        <v>11134</v>
      </c>
      <c r="O256" s="57">
        <v>20787</v>
      </c>
      <c r="P256" s="57">
        <v>81925</v>
      </c>
      <c r="Q256" s="77">
        <v>0.4</v>
      </c>
      <c r="R256" s="57">
        <v>32770</v>
      </c>
      <c r="S256" s="57">
        <v>114695.57</v>
      </c>
      <c r="T256" s="106">
        <f>IF(A256="Upgrade",IF(OR(H256=4,H256=5),_xlfn.XLOOKUP(I256,'Renewal Rates'!$A$22:$A$27,'Renewal Rates'!$B$22:$B$27,'Renewal Rates'!$B$27,0),'Renewal Rates'!$F$7),IF(A256="Renewal",100%,0%))</f>
        <v>2.6599999999999999E-2</v>
      </c>
      <c r="U256" s="68">
        <f t="shared" si="3"/>
        <v>3050.9021619999999</v>
      </c>
      <c r="V256" s="68"/>
    </row>
    <row r="257" spans="1:22" x14ac:dyDescent="0.3">
      <c r="A257" s="41" t="s">
        <v>21</v>
      </c>
      <c r="B257" s="51">
        <v>4.0129999999999999</v>
      </c>
      <c r="C257" s="58">
        <v>2000237110</v>
      </c>
      <c r="D257" s="86">
        <v>52.37</v>
      </c>
      <c r="E257" s="86"/>
      <c r="F257" s="52">
        <v>600</v>
      </c>
      <c r="G257" s="53">
        <v>1050</v>
      </c>
      <c r="H257" s="52">
        <v>5</v>
      </c>
      <c r="I257" s="45">
        <v>3</v>
      </c>
      <c r="J257" s="41">
        <v>374</v>
      </c>
      <c r="K257" s="54" t="s">
        <v>23</v>
      </c>
      <c r="L257" s="54" t="s">
        <v>24</v>
      </c>
      <c r="M257" s="57">
        <v>369491</v>
      </c>
      <c r="N257" s="57">
        <v>7056</v>
      </c>
      <c r="O257" s="57">
        <v>125627</v>
      </c>
      <c r="P257" s="57">
        <v>495118</v>
      </c>
      <c r="Q257" s="77">
        <v>0.4</v>
      </c>
      <c r="R257" s="57">
        <v>198047</v>
      </c>
      <c r="S257" s="57">
        <v>693164.77025319997</v>
      </c>
      <c r="T257" s="106">
        <f>IF(A257="Upgrade",IF(OR(H257=4,H257=5),_xlfn.XLOOKUP(I257,'Renewal Rates'!$A$22:$A$27,'Renewal Rates'!$B$22:$B$27,'Renewal Rates'!$B$27,0),'Renewal Rates'!$F$7),IF(A257="Renewal",100%,0%))</f>
        <v>0.21</v>
      </c>
      <c r="U257" s="68">
        <f t="shared" si="3"/>
        <v>145564.601753172</v>
      </c>
      <c r="V257" s="68"/>
    </row>
    <row r="258" spans="1:22" x14ac:dyDescent="0.3">
      <c r="A258" s="41" t="s">
        <v>21</v>
      </c>
      <c r="B258" s="51">
        <v>16.012</v>
      </c>
      <c r="C258" s="58">
        <v>2000250793</v>
      </c>
      <c r="D258" s="86">
        <v>30.319123000000001</v>
      </c>
      <c r="E258" s="86"/>
      <c r="F258" s="52">
        <v>375</v>
      </c>
      <c r="G258" s="53">
        <v>600</v>
      </c>
      <c r="H258" s="52" t="s">
        <v>122</v>
      </c>
      <c r="I258" s="45" t="s">
        <v>122</v>
      </c>
      <c r="J258" s="41">
        <v>376</v>
      </c>
      <c r="K258" s="54" t="s">
        <v>23</v>
      </c>
      <c r="L258" s="54" t="s">
        <v>24</v>
      </c>
      <c r="M258" s="57">
        <v>113691</v>
      </c>
      <c r="N258" s="57">
        <v>3750</v>
      </c>
      <c r="O258" s="57">
        <v>38655</v>
      </c>
      <c r="P258" s="57">
        <v>152346</v>
      </c>
      <c r="Q258" s="77">
        <v>0.4</v>
      </c>
      <c r="R258" s="57">
        <v>60938</v>
      </c>
      <c r="S258" s="57">
        <v>213284.01</v>
      </c>
      <c r="T258" s="106">
        <f>IF(A258="Upgrade",IF(OR(H258=4,H258=5),_xlfn.XLOOKUP(I258,'Renewal Rates'!$A$22:$A$27,'Renewal Rates'!$B$22:$B$27,'Renewal Rates'!$B$27,0),'Renewal Rates'!$F$7),IF(A258="Renewal",100%,0%))</f>
        <v>2.6599999999999999E-2</v>
      </c>
      <c r="U258" s="68">
        <f t="shared" si="3"/>
        <v>5673.3546660000002</v>
      </c>
      <c r="V258" s="68"/>
    </row>
    <row r="259" spans="1:22" x14ac:dyDescent="0.3">
      <c r="A259" s="41" t="s">
        <v>21</v>
      </c>
      <c r="B259" s="51">
        <v>9.0079999999999991</v>
      </c>
      <c r="C259" s="58">
        <v>2000786343</v>
      </c>
      <c r="D259" s="86">
        <v>88.72</v>
      </c>
      <c r="E259" s="86"/>
      <c r="F259" s="52">
        <v>450</v>
      </c>
      <c r="G259" s="53">
        <v>900</v>
      </c>
      <c r="H259" s="52" t="s">
        <v>122</v>
      </c>
      <c r="I259" s="45" t="s">
        <v>122</v>
      </c>
      <c r="J259" s="41">
        <v>368</v>
      </c>
      <c r="K259" s="54" t="s">
        <v>23</v>
      </c>
      <c r="L259" s="54" t="s">
        <v>24</v>
      </c>
      <c r="M259" s="57">
        <v>474835</v>
      </c>
      <c r="N259" s="57">
        <v>5352</v>
      </c>
      <c r="O259" s="57">
        <v>161444</v>
      </c>
      <c r="P259" s="57">
        <v>636279</v>
      </c>
      <c r="Q259" s="77">
        <v>0.4</v>
      </c>
      <c r="R259" s="57">
        <v>254511</v>
      </c>
      <c r="S259" s="57">
        <v>890789.94</v>
      </c>
      <c r="T259" s="106">
        <f>IF(A259="Upgrade",IF(OR(H259=4,H259=5),_xlfn.XLOOKUP(I259,'Renewal Rates'!$A$22:$A$27,'Renewal Rates'!$B$22:$B$27,'Renewal Rates'!$B$27,0),'Renewal Rates'!$F$7),IF(A259="Renewal",100%,0%))</f>
        <v>2.6599999999999999E-2</v>
      </c>
      <c r="U259" s="68">
        <f t="shared" si="3"/>
        <v>23695.012403999997</v>
      </c>
      <c r="V259" s="68"/>
    </row>
    <row r="260" spans="1:22" x14ac:dyDescent="0.3">
      <c r="A260" s="41" t="s">
        <v>21</v>
      </c>
      <c r="B260" s="51">
        <v>9.0129999999999999</v>
      </c>
      <c r="C260" s="58">
        <v>2000621128</v>
      </c>
      <c r="D260" s="86">
        <v>62.949283000000001</v>
      </c>
      <c r="E260" s="86"/>
      <c r="F260" s="52">
        <v>225</v>
      </c>
      <c r="G260" s="53">
        <v>525</v>
      </c>
      <c r="H260" s="52" t="s">
        <v>122</v>
      </c>
      <c r="I260" s="45" t="s">
        <v>122</v>
      </c>
      <c r="J260" s="41">
        <v>375</v>
      </c>
      <c r="K260" s="54" t="s">
        <v>23</v>
      </c>
      <c r="L260" s="54" t="s">
        <v>24</v>
      </c>
      <c r="M260" s="57">
        <v>195501</v>
      </c>
      <c r="N260" s="57">
        <v>3106</v>
      </c>
      <c r="O260" s="57">
        <v>66470</v>
      </c>
      <c r="P260" s="57">
        <v>261971</v>
      </c>
      <c r="Q260" s="77">
        <v>0.4</v>
      </c>
      <c r="R260" s="57">
        <v>104788</v>
      </c>
      <c r="S260" s="57">
        <v>366759.15</v>
      </c>
      <c r="T260" s="106">
        <f>IF(A260="Upgrade",IF(OR(H260=4,H260=5),_xlfn.XLOOKUP(I260,'Renewal Rates'!$A$22:$A$27,'Renewal Rates'!$B$22:$B$27,'Renewal Rates'!$B$27,0),'Renewal Rates'!$F$7),IF(A260="Renewal",100%,0%))</f>
        <v>2.6599999999999999E-2</v>
      </c>
      <c r="U260" s="68">
        <f t="shared" ref="U260:U323" si="4">S260*T260</f>
        <v>9755.7933900000007</v>
      </c>
      <c r="V260" s="68"/>
    </row>
    <row r="261" spans="1:22" x14ac:dyDescent="0.3">
      <c r="A261" s="41" t="s">
        <v>21</v>
      </c>
      <c r="B261" s="51">
        <v>10.018000000000001</v>
      </c>
      <c r="C261" s="58">
        <v>2000937313</v>
      </c>
      <c r="D261" s="86">
        <v>91.01</v>
      </c>
      <c r="E261" s="86"/>
      <c r="F261" s="52">
        <v>225</v>
      </c>
      <c r="G261" s="53">
        <v>600</v>
      </c>
      <c r="H261" s="52" t="s">
        <v>122</v>
      </c>
      <c r="I261" s="45" t="s">
        <v>122</v>
      </c>
      <c r="J261" s="41">
        <v>377</v>
      </c>
      <c r="K261" s="54" t="s">
        <v>23</v>
      </c>
      <c r="L261" s="54" t="s">
        <v>24</v>
      </c>
      <c r="M261" s="57">
        <v>292051</v>
      </c>
      <c r="N261" s="57">
        <v>3209</v>
      </c>
      <c r="O261" s="57">
        <v>99297</v>
      </c>
      <c r="P261" s="57">
        <v>391348</v>
      </c>
      <c r="Q261" s="77">
        <v>0.4</v>
      </c>
      <c r="R261" s="57">
        <v>156539</v>
      </c>
      <c r="S261" s="57">
        <v>547887.56000000006</v>
      </c>
      <c r="T261" s="106">
        <f>IF(A261="Upgrade",IF(OR(H261=4,H261=5),_xlfn.XLOOKUP(I261,'Renewal Rates'!$A$22:$A$27,'Renewal Rates'!$B$22:$B$27,'Renewal Rates'!$B$27,0),'Renewal Rates'!$F$7),IF(A261="Renewal",100%,0%))</f>
        <v>2.6599999999999999E-2</v>
      </c>
      <c r="U261" s="68">
        <f t="shared" si="4"/>
        <v>14573.809096000001</v>
      </c>
      <c r="V261" s="68"/>
    </row>
    <row r="262" spans="1:22" x14ac:dyDescent="0.3">
      <c r="A262" s="41" t="s">
        <v>21</v>
      </c>
      <c r="B262" s="51">
        <v>13.01</v>
      </c>
      <c r="C262" s="58">
        <v>2000286910</v>
      </c>
      <c r="D262" s="86">
        <v>7.28</v>
      </c>
      <c r="E262" s="86"/>
      <c r="F262" s="52">
        <v>225</v>
      </c>
      <c r="G262" s="53">
        <v>825</v>
      </c>
      <c r="H262" s="52" t="s">
        <v>122</v>
      </c>
      <c r="I262" s="45" t="s">
        <v>122</v>
      </c>
      <c r="J262" s="41">
        <v>377</v>
      </c>
      <c r="K262" s="54" t="s">
        <v>23</v>
      </c>
      <c r="L262" s="54" t="s">
        <v>24</v>
      </c>
      <c r="M262" s="57">
        <v>60169</v>
      </c>
      <c r="N262" s="57">
        <v>8270</v>
      </c>
      <c r="O262" s="57">
        <v>20457</v>
      </c>
      <c r="P262" s="57">
        <v>80626</v>
      </c>
      <c r="Q262" s="77">
        <v>0.4</v>
      </c>
      <c r="R262" s="57">
        <v>32250</v>
      </c>
      <c r="S262" s="57">
        <v>112876.1</v>
      </c>
      <c r="T262" s="106">
        <f>IF(A262="Upgrade",IF(OR(H262=4,H262=5),_xlfn.XLOOKUP(I262,'Renewal Rates'!$A$22:$A$27,'Renewal Rates'!$B$22:$B$27,'Renewal Rates'!$B$27,0),'Renewal Rates'!$F$7),IF(A262="Renewal",100%,0%))</f>
        <v>2.6599999999999999E-2</v>
      </c>
      <c r="U262" s="68">
        <f t="shared" si="4"/>
        <v>3002.5042600000002</v>
      </c>
      <c r="V262" s="68"/>
    </row>
    <row r="263" spans="1:22" x14ac:dyDescent="0.3">
      <c r="A263" s="41" t="s">
        <v>21</v>
      </c>
      <c r="B263" s="51">
        <v>13.010999999999999</v>
      </c>
      <c r="C263" s="58">
        <v>2000091243</v>
      </c>
      <c r="D263" s="86">
        <v>65.069999999999993</v>
      </c>
      <c r="E263" s="86"/>
      <c r="F263" s="52">
        <v>600</v>
      </c>
      <c r="G263" s="53">
        <v>1050</v>
      </c>
      <c r="H263" s="52">
        <v>4</v>
      </c>
      <c r="I263" s="45">
        <v>3</v>
      </c>
      <c r="J263" s="41">
        <v>377</v>
      </c>
      <c r="K263" s="54" t="s">
        <v>23</v>
      </c>
      <c r="L263" s="54" t="s">
        <v>24</v>
      </c>
      <c r="M263" s="57">
        <v>329114</v>
      </c>
      <c r="N263" s="57">
        <v>5057</v>
      </c>
      <c r="O263" s="57">
        <v>149792</v>
      </c>
      <c r="P263" s="57">
        <v>590358</v>
      </c>
      <c r="Q263" s="77">
        <v>0.4</v>
      </c>
      <c r="R263" s="57">
        <v>236143</v>
      </c>
      <c r="S263" s="57">
        <v>826501.2002968</v>
      </c>
      <c r="T263" s="106">
        <f>IF(A263="Upgrade",IF(OR(H263=4,H263=5),_xlfn.XLOOKUP(I263,'Renewal Rates'!$A$22:$A$27,'Renewal Rates'!$B$22:$B$27,'Renewal Rates'!$B$27,0),'Renewal Rates'!$F$7),IF(A263="Renewal",100%,0%))</f>
        <v>0.21</v>
      </c>
      <c r="U263" s="68">
        <f t="shared" si="4"/>
        <v>173565.25206232799</v>
      </c>
      <c r="V263" s="68"/>
    </row>
    <row r="264" spans="1:22" x14ac:dyDescent="0.3">
      <c r="A264" s="41" t="s">
        <v>21</v>
      </c>
      <c r="B264" s="51">
        <v>8.0220000000000002</v>
      </c>
      <c r="C264" s="58">
        <v>2000869006</v>
      </c>
      <c r="D264" s="86">
        <v>59.31</v>
      </c>
      <c r="E264" s="86"/>
      <c r="F264" s="52">
        <v>375</v>
      </c>
      <c r="G264" s="53">
        <v>825</v>
      </c>
      <c r="H264" s="52">
        <v>4</v>
      </c>
      <c r="I264" s="45">
        <v>3</v>
      </c>
      <c r="J264" s="41">
        <v>368</v>
      </c>
      <c r="K264" s="54" t="s">
        <v>23</v>
      </c>
      <c r="L264" s="54" t="s">
        <v>24</v>
      </c>
      <c r="M264" s="57">
        <v>280124</v>
      </c>
      <c r="N264" s="57">
        <v>4723</v>
      </c>
      <c r="O264" s="57">
        <v>95242</v>
      </c>
      <c r="P264" s="57">
        <v>375366</v>
      </c>
      <c r="Q264" s="77">
        <v>0.4</v>
      </c>
      <c r="R264" s="57">
        <v>150146</v>
      </c>
      <c r="S264" s="57">
        <v>525512.35</v>
      </c>
      <c r="T264" s="106">
        <f>IF(A264="Upgrade",IF(OR(H264=4,H264=5),_xlfn.XLOOKUP(I264,'Renewal Rates'!$A$22:$A$27,'Renewal Rates'!$B$22:$B$27,'Renewal Rates'!$B$27,0),'Renewal Rates'!$F$7),IF(A264="Renewal",100%,0%))</f>
        <v>0.21</v>
      </c>
      <c r="U264" s="68">
        <f t="shared" si="4"/>
        <v>110357.59349999999</v>
      </c>
      <c r="V264" s="68"/>
    </row>
    <row r="265" spans="1:22" x14ac:dyDescent="0.3">
      <c r="A265" s="41" t="s">
        <v>21</v>
      </c>
      <c r="B265" s="51">
        <v>8.0090000000000003</v>
      </c>
      <c r="C265" s="58">
        <v>2000046650</v>
      </c>
      <c r="D265" s="86">
        <v>36.04</v>
      </c>
      <c r="E265" s="86"/>
      <c r="F265" s="52">
        <v>450</v>
      </c>
      <c r="G265" s="53">
        <v>600</v>
      </c>
      <c r="H265" s="52">
        <v>4</v>
      </c>
      <c r="I265" s="45">
        <v>2</v>
      </c>
      <c r="J265" s="41">
        <v>368</v>
      </c>
      <c r="K265" s="54" t="s">
        <v>23</v>
      </c>
      <c r="L265" s="54" t="s">
        <v>24</v>
      </c>
      <c r="M265" s="57">
        <v>155422</v>
      </c>
      <c r="N265" s="57">
        <v>4313</v>
      </c>
      <c r="O265" s="57">
        <v>52843</v>
      </c>
      <c r="P265" s="57">
        <v>208265</v>
      </c>
      <c r="Q265" s="77">
        <v>0.4</v>
      </c>
      <c r="R265" s="57">
        <v>83306</v>
      </c>
      <c r="S265" s="57">
        <v>291571.03999999998</v>
      </c>
      <c r="T265" s="106">
        <f>IF(A265="Upgrade",IF(OR(H265=4,H265=5),_xlfn.XLOOKUP(I265,'Renewal Rates'!$A$22:$A$27,'Renewal Rates'!$B$22:$B$27,'Renewal Rates'!$B$27,0),'Renewal Rates'!$F$7),IF(A265="Renewal",100%,0%))</f>
        <v>0</v>
      </c>
      <c r="U265" s="68">
        <f t="shared" si="4"/>
        <v>0</v>
      </c>
      <c r="V265" s="68"/>
    </row>
    <row r="266" spans="1:22" x14ac:dyDescent="0.3">
      <c r="A266" s="41" t="s">
        <v>21</v>
      </c>
      <c r="B266" s="51">
        <v>4.01</v>
      </c>
      <c r="C266" s="58">
        <v>2000595494</v>
      </c>
      <c r="D266" s="86">
        <v>79.400000000000006</v>
      </c>
      <c r="E266" s="86"/>
      <c r="F266" s="52">
        <v>525</v>
      </c>
      <c r="G266" s="53">
        <v>900</v>
      </c>
      <c r="H266" s="52" t="s">
        <v>122</v>
      </c>
      <c r="I266" s="45" t="s">
        <v>122</v>
      </c>
      <c r="J266" s="41">
        <v>374</v>
      </c>
      <c r="K266" s="54" t="s">
        <v>23</v>
      </c>
      <c r="L266" s="54" t="s">
        <v>24</v>
      </c>
      <c r="M266" s="57">
        <v>436412</v>
      </c>
      <c r="N266" s="57">
        <v>5496</v>
      </c>
      <c r="O266" s="57">
        <v>148380</v>
      </c>
      <c r="P266" s="57">
        <v>584792</v>
      </c>
      <c r="Q266" s="77">
        <v>0.4</v>
      </c>
      <c r="R266" s="57">
        <v>233917</v>
      </c>
      <c r="S266" s="57">
        <v>818709.14199759997</v>
      </c>
      <c r="T266" s="106">
        <f>IF(A266="Upgrade",IF(OR(H266=4,H266=5),_xlfn.XLOOKUP(I266,'Renewal Rates'!$A$22:$A$27,'Renewal Rates'!$B$22:$B$27,'Renewal Rates'!$B$27,0),'Renewal Rates'!$F$7),IF(A266="Renewal",100%,0%))</f>
        <v>2.6599999999999999E-2</v>
      </c>
      <c r="U266" s="68">
        <f t="shared" si="4"/>
        <v>21777.663177136157</v>
      </c>
      <c r="V266" s="68"/>
    </row>
    <row r="267" spans="1:22" x14ac:dyDescent="0.3">
      <c r="A267" s="41" t="s">
        <v>21</v>
      </c>
      <c r="B267" s="51">
        <v>1.0129999999999999</v>
      </c>
      <c r="C267" s="58">
        <v>2000231831</v>
      </c>
      <c r="D267" s="86">
        <v>41.938378</v>
      </c>
      <c r="E267" s="86"/>
      <c r="F267" s="52">
        <v>450</v>
      </c>
      <c r="G267" s="53">
        <v>675</v>
      </c>
      <c r="H267" s="52" t="s">
        <v>122</v>
      </c>
      <c r="I267" s="45" t="s">
        <v>122</v>
      </c>
      <c r="J267" s="41">
        <v>377</v>
      </c>
      <c r="K267" s="54" t="s">
        <v>23</v>
      </c>
      <c r="L267" s="54" t="s">
        <v>24</v>
      </c>
      <c r="M267" s="57">
        <v>177941</v>
      </c>
      <c r="N267" s="57">
        <v>4243</v>
      </c>
      <c r="O267" s="57">
        <v>60500</v>
      </c>
      <c r="P267" s="57">
        <v>238441</v>
      </c>
      <c r="Q267" s="77">
        <v>0.4</v>
      </c>
      <c r="R267" s="57">
        <v>95376</v>
      </c>
      <c r="S267" s="57">
        <v>333817.09000000003</v>
      </c>
      <c r="T267" s="106">
        <f>IF(A267="Upgrade",IF(OR(H267=4,H267=5),_xlfn.XLOOKUP(I267,'Renewal Rates'!$A$22:$A$27,'Renewal Rates'!$B$22:$B$27,'Renewal Rates'!$B$27,0),'Renewal Rates'!$F$7),IF(A267="Renewal",100%,0%))</f>
        <v>2.6599999999999999E-2</v>
      </c>
      <c r="U267" s="68">
        <f t="shared" si="4"/>
        <v>8879.5345940000007</v>
      </c>
      <c r="V267" s="68"/>
    </row>
    <row r="268" spans="1:22" x14ac:dyDescent="0.3">
      <c r="A268" s="41" t="s">
        <v>21</v>
      </c>
      <c r="B268" s="51">
        <v>17.015999999999998</v>
      </c>
      <c r="C268" s="58">
        <v>2000754530</v>
      </c>
      <c r="D268" s="86">
        <v>89.95</v>
      </c>
      <c r="E268" s="86"/>
      <c r="F268" s="52">
        <v>300</v>
      </c>
      <c r="G268" s="53">
        <v>600</v>
      </c>
      <c r="H268" s="52" t="s">
        <v>122</v>
      </c>
      <c r="I268" s="45" t="s">
        <v>122</v>
      </c>
      <c r="J268" s="41">
        <v>376</v>
      </c>
      <c r="K268" s="54" t="s">
        <v>23</v>
      </c>
      <c r="L268" s="54" t="s">
        <v>24</v>
      </c>
      <c r="M268" s="57">
        <v>307336</v>
      </c>
      <c r="N268" s="57">
        <v>3417</v>
      </c>
      <c r="O268" s="57">
        <v>104494</v>
      </c>
      <c r="P268" s="57">
        <v>411830</v>
      </c>
      <c r="Q268" s="77">
        <v>0.4</v>
      </c>
      <c r="R268" s="57">
        <v>164732</v>
      </c>
      <c r="S268" s="57">
        <v>576562.29</v>
      </c>
      <c r="T268" s="106">
        <f>IF(A268="Upgrade",IF(OR(H268=4,H268=5),_xlfn.XLOOKUP(I268,'Renewal Rates'!$A$22:$A$27,'Renewal Rates'!$B$22:$B$27,'Renewal Rates'!$B$27,0),'Renewal Rates'!$F$7),IF(A268="Renewal",100%,0%))</f>
        <v>2.6599999999999999E-2</v>
      </c>
      <c r="U268" s="68">
        <f t="shared" si="4"/>
        <v>15336.556914000001</v>
      </c>
      <c r="V268" s="68"/>
    </row>
    <row r="269" spans="1:22" x14ac:dyDescent="0.3">
      <c r="A269" s="41" t="s">
        <v>21</v>
      </c>
      <c r="B269" s="51">
        <v>4.0069999999999997</v>
      </c>
      <c r="C269" s="58">
        <v>2000878035</v>
      </c>
      <c r="D269" s="86">
        <v>29.38</v>
      </c>
      <c r="E269" s="86"/>
      <c r="F269" s="52">
        <v>375</v>
      </c>
      <c r="G269" s="53">
        <v>750</v>
      </c>
      <c r="H269" s="52" t="s">
        <v>122</v>
      </c>
      <c r="I269" s="45" t="s">
        <v>122</v>
      </c>
      <c r="J269" s="41">
        <v>374</v>
      </c>
      <c r="K269" s="54" t="s">
        <v>23</v>
      </c>
      <c r="L269" s="54" t="s">
        <v>24</v>
      </c>
      <c r="M269" s="57">
        <v>147807</v>
      </c>
      <c r="N269" s="57">
        <v>5031</v>
      </c>
      <c r="O269" s="57">
        <v>50254</v>
      </c>
      <c r="P269" s="57">
        <v>198061</v>
      </c>
      <c r="Q269" s="77">
        <v>0.4</v>
      </c>
      <c r="R269" s="57">
        <v>79225</v>
      </c>
      <c r="S269" s="57">
        <v>277285.82769440004</v>
      </c>
      <c r="T269" s="106">
        <f>IF(A269="Upgrade",IF(OR(H269=4,H269=5),_xlfn.XLOOKUP(I269,'Renewal Rates'!$A$22:$A$27,'Renewal Rates'!$B$22:$B$27,'Renewal Rates'!$B$27,0),'Renewal Rates'!$F$7),IF(A269="Renewal",100%,0%))</f>
        <v>2.6599999999999999E-2</v>
      </c>
      <c r="U269" s="68">
        <f t="shared" si="4"/>
        <v>7375.8030166710405</v>
      </c>
      <c r="V269" s="68"/>
    </row>
    <row r="270" spans="1:22" x14ac:dyDescent="0.3">
      <c r="A270" s="41" t="s">
        <v>21</v>
      </c>
      <c r="B270" s="51">
        <v>4.0119999999999996</v>
      </c>
      <c r="C270" s="58">
        <v>2000623816</v>
      </c>
      <c r="D270" s="86">
        <v>71.540000000000006</v>
      </c>
      <c r="E270" s="86"/>
      <c r="F270" s="52">
        <v>600</v>
      </c>
      <c r="G270" s="53">
        <v>1050</v>
      </c>
      <c r="H270" s="52" t="s">
        <v>122</v>
      </c>
      <c r="I270" s="45" t="s">
        <v>122</v>
      </c>
      <c r="J270" s="41">
        <v>374</v>
      </c>
      <c r="K270" s="54" t="s">
        <v>23</v>
      </c>
      <c r="L270" s="54" t="s">
        <v>24</v>
      </c>
      <c r="M270" s="57">
        <v>476335</v>
      </c>
      <c r="N270" s="57">
        <v>6658</v>
      </c>
      <c r="O270" s="57">
        <v>161954</v>
      </c>
      <c r="P270" s="57">
        <v>638289</v>
      </c>
      <c r="Q270" s="77">
        <v>0.4</v>
      </c>
      <c r="R270" s="57">
        <v>255316</v>
      </c>
      <c r="S270" s="57">
        <v>893604.25983080012</v>
      </c>
      <c r="T270" s="106">
        <f>IF(A270="Upgrade",IF(OR(H270=4,H270=5),_xlfn.XLOOKUP(I270,'Renewal Rates'!$A$22:$A$27,'Renewal Rates'!$B$22:$B$27,'Renewal Rates'!$B$27,0),'Renewal Rates'!$F$7),IF(A270="Renewal",100%,0%))</f>
        <v>2.6599999999999999E-2</v>
      </c>
      <c r="U270" s="68">
        <f t="shared" si="4"/>
        <v>23769.873311499283</v>
      </c>
      <c r="V270" s="68"/>
    </row>
    <row r="271" spans="1:22" x14ac:dyDescent="0.3">
      <c r="A271" s="41" t="s">
        <v>21</v>
      </c>
      <c r="B271" s="51">
        <v>16.007000000000001</v>
      </c>
      <c r="C271" s="58">
        <v>2000330197</v>
      </c>
      <c r="D271" s="86">
        <v>44.84</v>
      </c>
      <c r="E271" s="86"/>
      <c r="F271" s="52">
        <v>300</v>
      </c>
      <c r="G271" s="53">
        <v>525</v>
      </c>
      <c r="H271" s="52" t="s">
        <v>122</v>
      </c>
      <c r="I271" s="45" t="s">
        <v>122</v>
      </c>
      <c r="J271" s="41">
        <v>376</v>
      </c>
      <c r="K271" s="54" t="s">
        <v>23</v>
      </c>
      <c r="L271" s="54" t="s">
        <v>24</v>
      </c>
      <c r="M271" s="57">
        <v>145694</v>
      </c>
      <c r="N271" s="57">
        <v>2927</v>
      </c>
      <c r="O271" s="57">
        <v>49536</v>
      </c>
      <c r="P271" s="57">
        <v>195230</v>
      </c>
      <c r="Q271" s="77">
        <v>0.4</v>
      </c>
      <c r="R271" s="57">
        <v>78092</v>
      </c>
      <c r="S271" s="57">
        <v>273321.75</v>
      </c>
      <c r="T271" s="106">
        <f>IF(A271="Upgrade",IF(OR(H271=4,H271=5),_xlfn.XLOOKUP(I271,'Renewal Rates'!$A$22:$A$27,'Renewal Rates'!$B$22:$B$27,'Renewal Rates'!$B$27,0),'Renewal Rates'!$F$7),IF(A271="Renewal",100%,0%))</f>
        <v>2.6599999999999999E-2</v>
      </c>
      <c r="U271" s="68">
        <f t="shared" si="4"/>
        <v>7270.3585499999999</v>
      </c>
      <c r="V271" s="68"/>
    </row>
    <row r="272" spans="1:22" x14ac:dyDescent="0.3">
      <c r="A272" s="41" t="s">
        <v>21</v>
      </c>
      <c r="B272" s="51">
        <v>10.016</v>
      </c>
      <c r="C272" s="58">
        <v>2000020658</v>
      </c>
      <c r="D272" s="86">
        <v>87.3</v>
      </c>
      <c r="E272" s="86"/>
      <c r="F272" s="52">
        <v>375</v>
      </c>
      <c r="G272" s="53">
        <v>675</v>
      </c>
      <c r="H272" s="52" t="s">
        <v>122</v>
      </c>
      <c r="I272" s="45" t="s">
        <v>122</v>
      </c>
      <c r="J272" s="41">
        <v>377</v>
      </c>
      <c r="K272" s="54" t="s">
        <v>23</v>
      </c>
      <c r="L272" s="54" t="s">
        <v>24</v>
      </c>
      <c r="M272" s="57">
        <v>358324</v>
      </c>
      <c r="N272" s="57">
        <v>4105</v>
      </c>
      <c r="O272" s="57">
        <v>121830</v>
      </c>
      <c r="P272" s="57">
        <v>480154</v>
      </c>
      <c r="Q272" s="77">
        <v>0.4</v>
      </c>
      <c r="R272" s="57">
        <v>192061</v>
      </c>
      <c r="S272" s="57">
        <v>672215.06</v>
      </c>
      <c r="T272" s="106">
        <f>IF(A272="Upgrade",IF(OR(H272=4,H272=5),_xlfn.XLOOKUP(I272,'Renewal Rates'!$A$22:$A$27,'Renewal Rates'!$B$22:$B$27,'Renewal Rates'!$B$27,0),'Renewal Rates'!$F$7),IF(A272="Renewal",100%,0%))</f>
        <v>2.6599999999999999E-2</v>
      </c>
      <c r="U272" s="68">
        <f t="shared" si="4"/>
        <v>17880.920596</v>
      </c>
      <c r="V272" s="68"/>
    </row>
    <row r="273" spans="1:22" x14ac:dyDescent="0.3">
      <c r="A273" s="41" t="s">
        <v>21</v>
      </c>
      <c r="B273" s="51">
        <v>13.016999999999999</v>
      </c>
      <c r="C273" s="58">
        <v>2000199190</v>
      </c>
      <c r="D273" s="86">
        <v>44.85</v>
      </c>
      <c r="E273" s="86"/>
      <c r="F273" s="52">
        <v>600</v>
      </c>
      <c r="G273" s="53">
        <v>1125</v>
      </c>
      <c r="H273" s="52">
        <v>5</v>
      </c>
      <c r="I273" s="45">
        <v>2</v>
      </c>
      <c r="J273" s="41">
        <v>377</v>
      </c>
      <c r="K273" s="54" t="s">
        <v>23</v>
      </c>
      <c r="L273" s="54" t="s">
        <v>24</v>
      </c>
      <c r="M273" s="57">
        <v>264706</v>
      </c>
      <c r="N273" s="57">
        <v>5902</v>
      </c>
      <c r="O273" s="57">
        <v>109864</v>
      </c>
      <c r="P273" s="57">
        <v>432995</v>
      </c>
      <c r="Q273" s="77">
        <v>0.4</v>
      </c>
      <c r="R273" s="57">
        <v>173198</v>
      </c>
      <c r="S273" s="57">
        <v>606192.41934999998</v>
      </c>
      <c r="T273" s="106">
        <f>IF(A273="Upgrade",IF(OR(H273=4,H273=5),_xlfn.XLOOKUP(I273,'Renewal Rates'!$A$22:$A$27,'Renewal Rates'!$B$22:$B$27,'Renewal Rates'!$B$27,0),'Renewal Rates'!$F$7),IF(A273="Renewal",100%,0%))</f>
        <v>0</v>
      </c>
      <c r="U273" s="68">
        <f t="shared" si="4"/>
        <v>0</v>
      </c>
      <c r="V273" s="68"/>
    </row>
    <row r="274" spans="1:22" x14ac:dyDescent="0.3">
      <c r="A274" s="41" t="s">
        <v>21</v>
      </c>
      <c r="B274" s="51">
        <v>13.01</v>
      </c>
      <c r="C274" s="58">
        <v>2000424541</v>
      </c>
      <c r="D274" s="86">
        <v>11.69</v>
      </c>
      <c r="E274" s="86"/>
      <c r="F274" s="52">
        <v>225</v>
      </c>
      <c r="G274" s="53">
        <v>825</v>
      </c>
      <c r="H274" s="52" t="s">
        <v>122</v>
      </c>
      <c r="I274" s="45" t="s">
        <v>122</v>
      </c>
      <c r="J274" s="41">
        <v>377</v>
      </c>
      <c r="K274" s="54" t="s">
        <v>23</v>
      </c>
      <c r="L274" s="54" t="s">
        <v>24</v>
      </c>
      <c r="M274" s="57">
        <v>86337</v>
      </c>
      <c r="N274" s="57">
        <v>7384</v>
      </c>
      <c r="O274" s="57">
        <v>29355</v>
      </c>
      <c r="P274" s="57">
        <v>115692</v>
      </c>
      <c r="Q274" s="77">
        <v>0.4</v>
      </c>
      <c r="R274" s="57">
        <v>46277</v>
      </c>
      <c r="S274" s="57">
        <v>161968.54999999999</v>
      </c>
      <c r="T274" s="106">
        <f>IF(A274="Upgrade",IF(OR(H274=4,H274=5),_xlfn.XLOOKUP(I274,'Renewal Rates'!$A$22:$A$27,'Renewal Rates'!$B$22:$B$27,'Renewal Rates'!$B$27,0),'Renewal Rates'!$F$7),IF(A274="Renewal",100%,0%))</f>
        <v>2.6599999999999999E-2</v>
      </c>
      <c r="U274" s="68">
        <f t="shared" si="4"/>
        <v>4308.3634299999994</v>
      </c>
      <c r="V274" s="68"/>
    </row>
    <row r="275" spans="1:22" x14ac:dyDescent="0.3">
      <c r="A275" s="41" t="s">
        <v>21</v>
      </c>
      <c r="B275" s="51">
        <v>4.0110000000000001</v>
      </c>
      <c r="C275" s="58">
        <v>2000135331</v>
      </c>
      <c r="D275" s="86">
        <v>59.38</v>
      </c>
      <c r="E275" s="86"/>
      <c r="F275" s="52">
        <v>600</v>
      </c>
      <c r="G275" s="53">
        <v>1050</v>
      </c>
      <c r="H275" s="52" t="s">
        <v>122</v>
      </c>
      <c r="I275" s="45" t="s">
        <v>122</v>
      </c>
      <c r="J275" s="41">
        <v>374</v>
      </c>
      <c r="K275" s="54" t="s">
        <v>23</v>
      </c>
      <c r="L275" s="54" t="s">
        <v>24</v>
      </c>
      <c r="M275" s="57">
        <v>406370</v>
      </c>
      <c r="N275" s="57">
        <v>6843</v>
      </c>
      <c r="O275" s="57">
        <v>138166</v>
      </c>
      <c r="P275" s="57">
        <v>544536</v>
      </c>
      <c r="Q275" s="77">
        <v>0.4</v>
      </c>
      <c r="R275" s="57">
        <v>217814</v>
      </c>
      <c r="S275" s="57">
        <v>762349.89694360003</v>
      </c>
      <c r="T275" s="106">
        <f>IF(A275="Upgrade",IF(OR(H275=4,H275=5),_xlfn.XLOOKUP(I275,'Renewal Rates'!$A$22:$A$27,'Renewal Rates'!$B$22:$B$27,'Renewal Rates'!$B$27,0),'Renewal Rates'!$F$7),IF(A275="Renewal",100%,0%))</f>
        <v>2.6599999999999999E-2</v>
      </c>
      <c r="U275" s="68">
        <f t="shared" si="4"/>
        <v>20278.507258699759</v>
      </c>
      <c r="V275" s="68"/>
    </row>
    <row r="276" spans="1:22" x14ac:dyDescent="0.3">
      <c r="A276" s="41" t="s">
        <v>21</v>
      </c>
      <c r="B276" s="51">
        <v>13.01</v>
      </c>
      <c r="C276" s="58">
        <v>2000710550</v>
      </c>
      <c r="D276" s="86">
        <v>39.723070999999997</v>
      </c>
      <c r="E276" s="86"/>
      <c r="F276" s="52">
        <v>300</v>
      </c>
      <c r="G276" s="53">
        <v>825</v>
      </c>
      <c r="H276" s="52" t="s">
        <v>122</v>
      </c>
      <c r="I276" s="45" t="s">
        <v>122</v>
      </c>
      <c r="J276" s="41">
        <v>377</v>
      </c>
      <c r="K276" s="54" t="s">
        <v>23</v>
      </c>
      <c r="L276" s="54" t="s">
        <v>24</v>
      </c>
      <c r="M276" s="57">
        <v>187367</v>
      </c>
      <c r="N276" s="57">
        <v>4717</v>
      </c>
      <c r="O276" s="57">
        <v>63705</v>
      </c>
      <c r="P276" s="57">
        <v>251072</v>
      </c>
      <c r="Q276" s="77">
        <v>0.4</v>
      </c>
      <c r="R276" s="57">
        <v>100429</v>
      </c>
      <c r="S276" s="57">
        <v>351501.26</v>
      </c>
      <c r="T276" s="106">
        <f>IF(A276="Upgrade",IF(OR(H276=4,H276=5),_xlfn.XLOOKUP(I276,'Renewal Rates'!$A$22:$A$27,'Renewal Rates'!$B$22:$B$27,'Renewal Rates'!$B$27,0),'Renewal Rates'!$F$7),IF(A276="Renewal",100%,0%))</f>
        <v>2.6599999999999999E-2</v>
      </c>
      <c r="U276" s="68">
        <f t="shared" si="4"/>
        <v>9349.9335159999991</v>
      </c>
      <c r="V276" s="68"/>
    </row>
    <row r="277" spans="1:22" x14ac:dyDescent="0.3">
      <c r="A277" s="41" t="s">
        <v>21</v>
      </c>
      <c r="B277" s="51">
        <v>10.013999999999999</v>
      </c>
      <c r="C277" s="58">
        <v>2000430954</v>
      </c>
      <c r="D277" s="86">
        <v>65.44</v>
      </c>
      <c r="E277" s="86"/>
      <c r="F277" s="52">
        <v>900</v>
      </c>
      <c r="G277" s="53">
        <v>1350</v>
      </c>
      <c r="H277" s="52">
        <v>4</v>
      </c>
      <c r="I277" s="45">
        <v>3</v>
      </c>
      <c r="J277" s="41">
        <v>376</v>
      </c>
      <c r="K277" s="54" t="s">
        <v>23</v>
      </c>
      <c r="L277" s="54" t="s">
        <v>24</v>
      </c>
      <c r="M277" s="57">
        <v>488745</v>
      </c>
      <c r="N277" s="57">
        <v>7469</v>
      </c>
      <c r="O277" s="57">
        <v>168217</v>
      </c>
      <c r="P277" s="57">
        <v>662973</v>
      </c>
      <c r="Q277" s="77">
        <v>0.4</v>
      </c>
      <c r="R277" s="57">
        <v>265189</v>
      </c>
      <c r="S277" s="57">
        <v>928162.82630399999</v>
      </c>
      <c r="T277" s="106">
        <f>IF(A277="Upgrade",IF(OR(H277=4,H277=5),_xlfn.XLOOKUP(I277,'Renewal Rates'!$A$22:$A$27,'Renewal Rates'!$B$22:$B$27,'Renewal Rates'!$B$27,0),'Renewal Rates'!$F$7),IF(A277="Renewal",100%,0%))</f>
        <v>0.21</v>
      </c>
      <c r="U277" s="68">
        <f t="shared" si="4"/>
        <v>194914.19352383999</v>
      </c>
      <c r="V277" s="68"/>
    </row>
    <row r="278" spans="1:22" x14ac:dyDescent="0.3">
      <c r="A278" s="41" t="s">
        <v>21</v>
      </c>
      <c r="B278" s="51">
        <v>4.0069999999999997</v>
      </c>
      <c r="C278" s="58">
        <v>2000380086</v>
      </c>
      <c r="D278" s="86">
        <v>47.67</v>
      </c>
      <c r="E278" s="86"/>
      <c r="F278" s="52">
        <v>225</v>
      </c>
      <c r="G278" s="53">
        <v>750</v>
      </c>
      <c r="H278" s="52" t="s">
        <v>122</v>
      </c>
      <c r="I278" s="45" t="s">
        <v>122</v>
      </c>
      <c r="J278" s="41">
        <v>374</v>
      </c>
      <c r="K278" s="54" t="s">
        <v>23</v>
      </c>
      <c r="L278" s="54" t="s">
        <v>24</v>
      </c>
      <c r="M278" s="57">
        <v>211546</v>
      </c>
      <c r="N278" s="57">
        <v>4438</v>
      </c>
      <c r="O278" s="57">
        <v>71925</v>
      </c>
      <c r="P278" s="57">
        <v>283471</v>
      </c>
      <c r="Q278" s="77">
        <v>0.4</v>
      </c>
      <c r="R278" s="57">
        <v>113388</v>
      </c>
      <c r="S278" s="57">
        <v>396859.44110679999</v>
      </c>
      <c r="T278" s="106">
        <f>IF(A278="Upgrade",IF(OR(H278=4,H278=5),_xlfn.XLOOKUP(I278,'Renewal Rates'!$A$22:$A$27,'Renewal Rates'!$B$22:$B$27,'Renewal Rates'!$B$27,0),'Renewal Rates'!$F$7),IF(A278="Renewal",100%,0%))</f>
        <v>2.6599999999999999E-2</v>
      </c>
      <c r="U278" s="68">
        <f t="shared" si="4"/>
        <v>10556.46113344088</v>
      </c>
      <c r="V278" s="68"/>
    </row>
    <row r="279" spans="1:22" x14ac:dyDescent="0.3">
      <c r="A279" s="41" t="s">
        <v>21</v>
      </c>
      <c r="B279" s="51">
        <v>13.010999999999999</v>
      </c>
      <c r="C279" s="58">
        <v>2000321440</v>
      </c>
      <c r="D279" s="86">
        <v>40.4</v>
      </c>
      <c r="E279" s="86"/>
      <c r="F279" s="52">
        <v>600</v>
      </c>
      <c r="G279" s="53">
        <v>1050</v>
      </c>
      <c r="H279" s="52">
        <v>4</v>
      </c>
      <c r="I279" s="45">
        <v>3</v>
      </c>
      <c r="J279" s="41">
        <v>377</v>
      </c>
      <c r="K279" s="54" t="s">
        <v>23</v>
      </c>
      <c r="L279" s="54" t="s">
        <v>24</v>
      </c>
      <c r="M279" s="57">
        <v>208661</v>
      </c>
      <c r="N279" s="57">
        <v>5165</v>
      </c>
      <c r="O279" s="57">
        <v>88970</v>
      </c>
      <c r="P279" s="57">
        <v>350646</v>
      </c>
      <c r="Q279" s="77">
        <v>0.4</v>
      </c>
      <c r="R279" s="57">
        <v>140259</v>
      </c>
      <c r="S279" s="57">
        <v>490905.09674080007</v>
      </c>
      <c r="T279" s="106">
        <f>IF(A279="Upgrade",IF(OR(H279=4,H279=5),_xlfn.XLOOKUP(I279,'Renewal Rates'!$A$22:$A$27,'Renewal Rates'!$B$22:$B$27,'Renewal Rates'!$B$27,0),'Renewal Rates'!$F$7),IF(A279="Renewal",100%,0%))</f>
        <v>0.21</v>
      </c>
      <c r="U279" s="68">
        <f t="shared" si="4"/>
        <v>103090.07031556801</v>
      </c>
      <c r="V279" s="68"/>
    </row>
    <row r="280" spans="1:22" x14ac:dyDescent="0.3">
      <c r="A280" s="41" t="s">
        <v>21</v>
      </c>
      <c r="B280" s="51">
        <v>8.0090000000000003</v>
      </c>
      <c r="C280" s="58">
        <v>2000232348</v>
      </c>
      <c r="D280" s="86">
        <v>14.97</v>
      </c>
      <c r="E280" s="86"/>
      <c r="F280" s="52">
        <v>300</v>
      </c>
      <c r="G280" s="53">
        <v>600</v>
      </c>
      <c r="H280" s="52" t="s">
        <v>122</v>
      </c>
      <c r="I280" s="45" t="s">
        <v>122</v>
      </c>
      <c r="J280" s="41">
        <v>368</v>
      </c>
      <c r="K280" s="54" t="s">
        <v>23</v>
      </c>
      <c r="L280" s="54" t="s">
        <v>24</v>
      </c>
      <c r="M280" s="57">
        <v>78379</v>
      </c>
      <c r="N280" s="57">
        <v>5236</v>
      </c>
      <c r="O280" s="57">
        <v>26649</v>
      </c>
      <c r="P280" s="57">
        <v>105028</v>
      </c>
      <c r="Q280" s="77">
        <v>0.4</v>
      </c>
      <c r="R280" s="57">
        <v>42011</v>
      </c>
      <c r="S280" s="57">
        <v>147038.66</v>
      </c>
      <c r="T280" s="106">
        <f>IF(A280="Upgrade",IF(OR(H280=4,H280=5),_xlfn.XLOOKUP(I280,'Renewal Rates'!$A$22:$A$27,'Renewal Rates'!$B$22:$B$27,'Renewal Rates'!$B$27,0),'Renewal Rates'!$F$7),IF(A280="Renewal",100%,0%))</f>
        <v>2.6599999999999999E-2</v>
      </c>
      <c r="U280" s="68">
        <f t="shared" si="4"/>
        <v>3911.2283560000001</v>
      </c>
      <c r="V280" s="68"/>
    </row>
    <row r="281" spans="1:22" x14ac:dyDescent="0.3">
      <c r="A281" s="41" t="s">
        <v>21</v>
      </c>
      <c r="B281" s="51">
        <v>4.0060000000000002</v>
      </c>
      <c r="C281" s="58">
        <v>2000648643</v>
      </c>
      <c r="D281" s="86">
        <v>14.45</v>
      </c>
      <c r="E281" s="86"/>
      <c r="F281" s="52">
        <v>225</v>
      </c>
      <c r="G281" s="53">
        <v>600</v>
      </c>
      <c r="H281" s="52" t="s">
        <v>122</v>
      </c>
      <c r="I281" s="45" t="s">
        <v>122</v>
      </c>
      <c r="J281" s="41">
        <v>374</v>
      </c>
      <c r="K281" s="54" t="s">
        <v>23</v>
      </c>
      <c r="L281" s="54" t="s">
        <v>24</v>
      </c>
      <c r="M281" s="57">
        <v>77844</v>
      </c>
      <c r="N281" s="57">
        <v>5386</v>
      </c>
      <c r="O281" s="57">
        <v>26467</v>
      </c>
      <c r="P281" s="57">
        <v>104311</v>
      </c>
      <c r="Q281" s="77">
        <v>0.4</v>
      </c>
      <c r="R281" s="57">
        <v>41724</v>
      </c>
      <c r="S281" s="57">
        <v>146034.95360440001</v>
      </c>
      <c r="T281" s="106">
        <f>IF(A281="Upgrade",IF(OR(H281=4,H281=5),_xlfn.XLOOKUP(I281,'Renewal Rates'!$A$22:$A$27,'Renewal Rates'!$B$22:$B$27,'Renewal Rates'!$B$27,0),'Renewal Rates'!$F$7),IF(A281="Renewal",100%,0%))</f>
        <v>2.6599999999999999E-2</v>
      </c>
      <c r="U281" s="68">
        <f t="shared" si="4"/>
        <v>3884.5297658770401</v>
      </c>
      <c r="V281" s="68"/>
    </row>
    <row r="282" spans="1:22" x14ac:dyDescent="0.3">
      <c r="A282" s="41" t="s">
        <v>21</v>
      </c>
      <c r="B282" s="51">
        <v>10.019</v>
      </c>
      <c r="C282" s="58">
        <v>2000717733</v>
      </c>
      <c r="D282" s="86">
        <v>90.58</v>
      </c>
      <c r="E282" s="86"/>
      <c r="F282" s="52">
        <v>300</v>
      </c>
      <c r="G282" s="53">
        <v>675</v>
      </c>
      <c r="H282" s="52" t="s">
        <v>122</v>
      </c>
      <c r="I282" s="45" t="s">
        <v>122</v>
      </c>
      <c r="J282" s="41">
        <v>377</v>
      </c>
      <c r="K282" s="54" t="s">
        <v>23</v>
      </c>
      <c r="L282" s="54" t="s">
        <v>24</v>
      </c>
      <c r="M282" s="57">
        <v>338849</v>
      </c>
      <c r="N282" s="57">
        <v>3741</v>
      </c>
      <c r="O282" s="57">
        <v>115209</v>
      </c>
      <c r="P282" s="57">
        <v>454058</v>
      </c>
      <c r="Q282" s="77">
        <v>0.4</v>
      </c>
      <c r="R282" s="57">
        <v>181623</v>
      </c>
      <c r="S282" s="57">
        <v>635681.18000000005</v>
      </c>
      <c r="T282" s="106">
        <f>IF(A282="Upgrade",IF(OR(H282=4,H282=5),_xlfn.XLOOKUP(I282,'Renewal Rates'!$A$22:$A$27,'Renewal Rates'!$B$22:$B$27,'Renewal Rates'!$B$27,0),'Renewal Rates'!$F$7),IF(A282="Renewal",100%,0%))</f>
        <v>2.6599999999999999E-2</v>
      </c>
      <c r="U282" s="68">
        <f t="shared" si="4"/>
        <v>16909.119387999999</v>
      </c>
      <c r="V282" s="68"/>
    </row>
    <row r="283" spans="1:22" x14ac:dyDescent="0.3">
      <c r="A283" s="41" t="s">
        <v>21</v>
      </c>
      <c r="B283" s="51">
        <v>8.0190000000000001</v>
      </c>
      <c r="C283" s="58">
        <v>2000496978</v>
      </c>
      <c r="D283" s="86">
        <v>42.77</v>
      </c>
      <c r="E283" s="86"/>
      <c r="F283" s="52">
        <v>300</v>
      </c>
      <c r="G283" s="53">
        <v>825</v>
      </c>
      <c r="H283" s="52">
        <v>4</v>
      </c>
      <c r="I283" s="45"/>
      <c r="J283" s="41">
        <v>368</v>
      </c>
      <c r="K283" s="54" t="s">
        <v>23</v>
      </c>
      <c r="L283" s="54" t="s">
        <v>24</v>
      </c>
      <c r="M283" s="57">
        <v>192008</v>
      </c>
      <c r="N283" s="57">
        <v>4490</v>
      </c>
      <c r="O283" s="57">
        <v>65283</v>
      </c>
      <c r="P283" s="57">
        <v>257290</v>
      </c>
      <c r="Q283" s="77">
        <v>0.4</v>
      </c>
      <c r="R283" s="57">
        <v>102916</v>
      </c>
      <c r="S283" s="57">
        <v>360206.39</v>
      </c>
      <c r="T283" s="106">
        <f>IF(A283="Upgrade",IF(OR(H283=4,H283=5),_xlfn.XLOOKUP(I283,'Renewal Rates'!$A$22:$A$27,'Renewal Rates'!$B$22:$B$27,'Renewal Rates'!$B$27,0),'Renewal Rates'!$F$7),IF(A283="Renewal",100%,0%))</f>
        <v>0.116578</v>
      </c>
      <c r="U283" s="68">
        <f t="shared" si="4"/>
        <v>41992.140533420003</v>
      </c>
      <c r="V283" s="68"/>
    </row>
    <row r="284" spans="1:22" x14ac:dyDescent="0.3">
      <c r="A284" s="41" t="s">
        <v>21</v>
      </c>
      <c r="B284" s="51">
        <v>9.0139999999999993</v>
      </c>
      <c r="C284" s="58">
        <v>3000007134</v>
      </c>
      <c r="D284" s="86">
        <v>72.349999999999994</v>
      </c>
      <c r="E284" s="86"/>
      <c r="F284" s="52">
        <v>450</v>
      </c>
      <c r="G284" s="53">
        <v>750</v>
      </c>
      <c r="H284" s="52" t="s">
        <v>122</v>
      </c>
      <c r="I284" s="45" t="s">
        <v>122</v>
      </c>
      <c r="J284" s="41">
        <v>375</v>
      </c>
      <c r="K284" s="54" t="s">
        <v>23</v>
      </c>
      <c r="L284" s="54" t="s">
        <v>24</v>
      </c>
      <c r="M284" s="57">
        <v>308476</v>
      </c>
      <c r="N284" s="57">
        <v>4264</v>
      </c>
      <c r="O284" s="57">
        <v>104882</v>
      </c>
      <c r="P284" s="57">
        <v>413357</v>
      </c>
      <c r="Q284" s="77">
        <v>0.4</v>
      </c>
      <c r="R284" s="57">
        <v>165343</v>
      </c>
      <c r="S284" s="57">
        <v>578700.47</v>
      </c>
      <c r="T284" s="106">
        <f>IF(A284="Upgrade",IF(OR(H284=4,H284=5),_xlfn.XLOOKUP(I284,'Renewal Rates'!$A$22:$A$27,'Renewal Rates'!$B$22:$B$27,'Renewal Rates'!$B$27,0),'Renewal Rates'!$F$7),IF(A284="Renewal",100%,0%))</f>
        <v>2.6599999999999999E-2</v>
      </c>
      <c r="U284" s="68">
        <f t="shared" si="4"/>
        <v>15393.432501999998</v>
      </c>
      <c r="V284" s="68"/>
    </row>
    <row r="285" spans="1:22" x14ac:dyDescent="0.3">
      <c r="A285" s="41" t="s">
        <v>21</v>
      </c>
      <c r="B285" s="51">
        <v>13.01</v>
      </c>
      <c r="C285" s="58">
        <v>2000078930</v>
      </c>
      <c r="D285" s="86">
        <v>46.29</v>
      </c>
      <c r="E285" s="86"/>
      <c r="F285" s="52">
        <v>225</v>
      </c>
      <c r="G285" s="53">
        <v>825</v>
      </c>
      <c r="H285" s="52" t="s">
        <v>122</v>
      </c>
      <c r="I285" s="45" t="s">
        <v>122</v>
      </c>
      <c r="J285" s="41">
        <v>377</v>
      </c>
      <c r="K285" s="54" t="s">
        <v>23</v>
      </c>
      <c r="L285" s="54" t="s">
        <v>24</v>
      </c>
      <c r="M285" s="57">
        <v>216806</v>
      </c>
      <c r="N285" s="57">
        <v>4684</v>
      </c>
      <c r="O285" s="57">
        <v>73714</v>
      </c>
      <c r="P285" s="57">
        <v>290520</v>
      </c>
      <c r="Q285" s="77">
        <v>0.4</v>
      </c>
      <c r="R285" s="57">
        <v>116208</v>
      </c>
      <c r="S285" s="57">
        <v>406728.39</v>
      </c>
      <c r="T285" s="106">
        <f>IF(A285="Upgrade",IF(OR(H285=4,H285=5),_xlfn.XLOOKUP(I285,'Renewal Rates'!$A$22:$A$27,'Renewal Rates'!$B$22:$B$27,'Renewal Rates'!$B$27,0),'Renewal Rates'!$F$7),IF(A285="Renewal",100%,0%))</f>
        <v>2.6599999999999999E-2</v>
      </c>
      <c r="U285" s="68">
        <f t="shared" si="4"/>
        <v>10818.975173999999</v>
      </c>
      <c r="V285" s="68"/>
    </row>
    <row r="286" spans="1:22" x14ac:dyDescent="0.3">
      <c r="A286" s="41" t="s">
        <v>21</v>
      </c>
      <c r="B286" s="51">
        <v>13.010999999999999</v>
      </c>
      <c r="C286" s="58">
        <v>2000655276</v>
      </c>
      <c r="D286" s="86">
        <v>17.48</v>
      </c>
      <c r="E286" s="86"/>
      <c r="F286" s="52">
        <v>375</v>
      </c>
      <c r="G286" s="53">
        <v>1050</v>
      </c>
      <c r="H286" s="52" t="s">
        <v>122</v>
      </c>
      <c r="I286" s="45" t="s">
        <v>122</v>
      </c>
      <c r="J286" s="41">
        <v>377</v>
      </c>
      <c r="K286" s="54" t="s">
        <v>23</v>
      </c>
      <c r="L286" s="54" t="s">
        <v>24</v>
      </c>
      <c r="M286" s="57">
        <v>147251</v>
      </c>
      <c r="N286" s="57">
        <v>8426</v>
      </c>
      <c r="O286" s="57">
        <v>50065</v>
      </c>
      <c r="P286" s="57">
        <v>197316</v>
      </c>
      <c r="Q286" s="77">
        <v>0.4</v>
      </c>
      <c r="R286" s="57">
        <v>78926</v>
      </c>
      <c r="S286" s="57">
        <v>276242.03999999998</v>
      </c>
      <c r="T286" s="106">
        <f>IF(A286="Upgrade",IF(OR(H286=4,H286=5),_xlfn.XLOOKUP(I286,'Renewal Rates'!$A$22:$A$27,'Renewal Rates'!$B$22:$B$27,'Renewal Rates'!$B$27,0),'Renewal Rates'!$F$7),IF(A286="Renewal",100%,0%))</f>
        <v>2.6599999999999999E-2</v>
      </c>
      <c r="U286" s="68">
        <f t="shared" si="4"/>
        <v>7348.0382639999989</v>
      </c>
      <c r="V286" s="68"/>
    </row>
    <row r="287" spans="1:22" x14ac:dyDescent="0.3">
      <c r="A287" s="41" t="s">
        <v>21</v>
      </c>
      <c r="B287" s="51">
        <v>16.015000000000001</v>
      </c>
      <c r="C287" s="58">
        <v>3000019770</v>
      </c>
      <c r="D287" s="86">
        <v>48.72</v>
      </c>
      <c r="E287" s="86"/>
      <c r="F287" s="52">
        <v>225</v>
      </c>
      <c r="G287" s="53">
        <v>675</v>
      </c>
      <c r="H287" s="52" t="s">
        <v>122</v>
      </c>
      <c r="I287" s="45" t="s">
        <v>122</v>
      </c>
      <c r="J287" s="41">
        <v>376</v>
      </c>
      <c r="K287" s="54" t="s">
        <v>23</v>
      </c>
      <c r="L287" s="54" t="s">
        <v>24</v>
      </c>
      <c r="M287" s="57">
        <v>186054</v>
      </c>
      <c r="N287" s="57">
        <v>3819</v>
      </c>
      <c r="O287" s="57">
        <v>63259</v>
      </c>
      <c r="P287" s="57">
        <v>249313</v>
      </c>
      <c r="Q287" s="77">
        <v>0.4</v>
      </c>
      <c r="R287" s="57">
        <v>99725</v>
      </c>
      <c r="S287" s="57">
        <v>349038.14</v>
      </c>
      <c r="T287" s="106">
        <f>IF(A287="Upgrade",IF(OR(H287=4,H287=5),_xlfn.XLOOKUP(I287,'Renewal Rates'!$A$22:$A$27,'Renewal Rates'!$B$22:$B$27,'Renewal Rates'!$B$27,0),'Renewal Rates'!$F$7),IF(A287="Renewal",100%,0%))</f>
        <v>2.6599999999999999E-2</v>
      </c>
      <c r="U287" s="68">
        <f t="shared" si="4"/>
        <v>9284.4145239999998</v>
      </c>
      <c r="V287" s="68"/>
    </row>
    <row r="288" spans="1:22" x14ac:dyDescent="0.3">
      <c r="A288" s="41" t="s">
        <v>21</v>
      </c>
      <c r="B288" s="51">
        <v>4.0060000000000002</v>
      </c>
      <c r="C288" s="58">
        <v>2000422225</v>
      </c>
      <c r="D288" s="86">
        <v>83.31</v>
      </c>
      <c r="E288" s="86"/>
      <c r="F288" s="52">
        <v>225</v>
      </c>
      <c r="G288" s="53">
        <v>600</v>
      </c>
      <c r="H288" s="52" t="s">
        <v>122</v>
      </c>
      <c r="I288" s="45" t="s">
        <v>122</v>
      </c>
      <c r="J288" s="41">
        <v>374</v>
      </c>
      <c r="K288" s="54" t="s">
        <v>23</v>
      </c>
      <c r="L288" s="54" t="s">
        <v>24</v>
      </c>
      <c r="M288" s="57">
        <v>284087</v>
      </c>
      <c r="N288" s="57">
        <v>3410</v>
      </c>
      <c r="O288" s="57">
        <v>96590</v>
      </c>
      <c r="P288" s="57">
        <v>380677</v>
      </c>
      <c r="Q288" s="77">
        <v>0.4</v>
      </c>
      <c r="R288" s="57">
        <v>152271</v>
      </c>
      <c r="S288" s="57">
        <v>532947.49490080005</v>
      </c>
      <c r="T288" s="106">
        <f>IF(A288="Upgrade",IF(OR(H288=4,H288=5),_xlfn.XLOOKUP(I288,'Renewal Rates'!$A$22:$A$27,'Renewal Rates'!$B$22:$B$27,'Renewal Rates'!$B$27,0),'Renewal Rates'!$F$7),IF(A288="Renewal",100%,0%))</f>
        <v>2.6599999999999999E-2</v>
      </c>
      <c r="U288" s="68">
        <f t="shared" si="4"/>
        <v>14176.40336436128</v>
      </c>
      <c r="V288" s="68"/>
    </row>
    <row r="289" spans="1:22" x14ac:dyDescent="0.3">
      <c r="A289" s="41" t="s">
        <v>21</v>
      </c>
      <c r="B289" s="51">
        <v>1.0109999999999999</v>
      </c>
      <c r="C289" s="58">
        <v>2000061690</v>
      </c>
      <c r="D289" s="86">
        <v>61.559618</v>
      </c>
      <c r="E289" s="86"/>
      <c r="F289" s="52">
        <v>225</v>
      </c>
      <c r="G289" s="53">
        <v>525</v>
      </c>
      <c r="H289" s="52">
        <v>4</v>
      </c>
      <c r="I289" s="45">
        <v>2</v>
      </c>
      <c r="J289" s="41">
        <v>368</v>
      </c>
      <c r="K289" s="54" t="s">
        <v>23</v>
      </c>
      <c r="L289" s="54" t="s">
        <v>24</v>
      </c>
      <c r="M289" s="57">
        <v>194287</v>
      </c>
      <c r="N289" s="57">
        <v>3156</v>
      </c>
      <c r="O289" s="57">
        <v>66058</v>
      </c>
      <c r="P289" s="57">
        <v>260345</v>
      </c>
      <c r="Q289" s="77">
        <v>0.4</v>
      </c>
      <c r="R289" s="57">
        <v>104138</v>
      </c>
      <c r="S289" s="57">
        <v>364483.32</v>
      </c>
      <c r="T289" s="106">
        <f>IF(A289="Upgrade",IF(OR(H289=4,H289=5),_xlfn.XLOOKUP(I289,'Renewal Rates'!$A$22:$A$27,'Renewal Rates'!$B$22:$B$27,'Renewal Rates'!$B$27,0),'Renewal Rates'!$F$7),IF(A289="Renewal",100%,0%))</f>
        <v>0</v>
      </c>
      <c r="U289" s="68">
        <f t="shared" si="4"/>
        <v>0</v>
      </c>
      <c r="V289" s="68"/>
    </row>
    <row r="290" spans="1:22" x14ac:dyDescent="0.3">
      <c r="A290" s="41" t="s">
        <v>21</v>
      </c>
      <c r="B290" s="51" t="s">
        <v>46</v>
      </c>
      <c r="C290" s="58">
        <v>2000324833</v>
      </c>
      <c r="D290" s="86">
        <v>23.3</v>
      </c>
      <c r="E290" s="86"/>
      <c r="F290" s="52">
        <v>225</v>
      </c>
      <c r="G290" s="53">
        <v>525</v>
      </c>
      <c r="H290" s="52" t="s">
        <v>122</v>
      </c>
      <c r="I290" s="45" t="s">
        <v>122</v>
      </c>
      <c r="J290" s="41">
        <v>376</v>
      </c>
      <c r="K290" s="54" t="s">
        <v>23</v>
      </c>
      <c r="L290" s="54" t="s">
        <v>24</v>
      </c>
      <c r="M290" s="57">
        <v>100084</v>
      </c>
      <c r="N290" s="57">
        <v>4295</v>
      </c>
      <c r="O290" s="57">
        <v>34029</v>
      </c>
      <c r="P290" s="57">
        <v>134113</v>
      </c>
      <c r="Q290" s="77">
        <v>0.4</v>
      </c>
      <c r="R290" s="57">
        <v>53645</v>
      </c>
      <c r="S290" s="57">
        <v>187758.12</v>
      </c>
      <c r="T290" s="106">
        <f>IF(A290="Upgrade",IF(OR(H290=4,H290=5),_xlfn.XLOOKUP(I290,'Renewal Rates'!$A$22:$A$27,'Renewal Rates'!$B$22:$B$27,'Renewal Rates'!$B$27,0),'Renewal Rates'!$F$7),IF(A290="Renewal",100%,0%))</f>
        <v>2.6599999999999999E-2</v>
      </c>
      <c r="U290" s="68">
        <f t="shared" si="4"/>
        <v>4994.365992</v>
      </c>
      <c r="V290" s="68"/>
    </row>
    <row r="291" spans="1:22" x14ac:dyDescent="0.3">
      <c r="A291" s="41" t="s">
        <v>21</v>
      </c>
      <c r="B291" s="51">
        <v>10.013999999999999</v>
      </c>
      <c r="C291" s="58">
        <v>2000063818</v>
      </c>
      <c r="D291" s="86">
        <v>20.45</v>
      </c>
      <c r="E291" s="86"/>
      <c r="F291" s="52">
        <v>900</v>
      </c>
      <c r="G291" s="53">
        <v>1350</v>
      </c>
      <c r="H291" s="52" t="s">
        <v>122</v>
      </c>
      <c r="I291" s="45" t="s">
        <v>122</v>
      </c>
      <c r="J291" s="41">
        <v>376</v>
      </c>
      <c r="K291" s="54" t="s">
        <v>23</v>
      </c>
      <c r="L291" s="54" t="s">
        <v>24</v>
      </c>
      <c r="M291" s="57">
        <v>176612</v>
      </c>
      <c r="N291" s="57">
        <v>8634</v>
      </c>
      <c r="O291" s="57">
        <v>58370</v>
      </c>
      <c r="P291" s="57">
        <v>230046</v>
      </c>
      <c r="Q291" s="77">
        <v>0.4</v>
      </c>
      <c r="R291" s="57">
        <v>92018</v>
      </c>
      <c r="S291" s="57">
        <v>322064.54031920002</v>
      </c>
      <c r="T291" s="106">
        <f>IF(A291="Upgrade",IF(OR(H291=4,H291=5),_xlfn.XLOOKUP(I291,'Renewal Rates'!$A$22:$A$27,'Renewal Rates'!$B$22:$B$27,'Renewal Rates'!$B$27,0),'Renewal Rates'!$F$7),IF(A291="Renewal",100%,0%))</f>
        <v>2.6599999999999999E-2</v>
      </c>
      <c r="U291" s="68">
        <f t="shared" si="4"/>
        <v>8566.9167724907202</v>
      </c>
      <c r="V291" s="68"/>
    </row>
    <row r="292" spans="1:22" x14ac:dyDescent="0.3">
      <c r="A292" s="41" t="s">
        <v>21</v>
      </c>
      <c r="B292" s="51">
        <v>10.013999999999999</v>
      </c>
      <c r="C292" s="58">
        <v>2000728242</v>
      </c>
      <c r="D292" s="86">
        <v>71.62</v>
      </c>
      <c r="E292" s="86"/>
      <c r="F292" s="52">
        <v>900</v>
      </c>
      <c r="G292" s="53">
        <v>1350</v>
      </c>
      <c r="H292" s="52">
        <v>5</v>
      </c>
      <c r="I292" s="45">
        <v>2</v>
      </c>
      <c r="J292" s="41">
        <v>376</v>
      </c>
      <c r="K292" s="54" t="s">
        <v>23</v>
      </c>
      <c r="L292" s="54" t="s">
        <v>24</v>
      </c>
      <c r="M292" s="57">
        <v>563135</v>
      </c>
      <c r="N292" s="57">
        <v>7863</v>
      </c>
      <c r="O292" s="57">
        <v>181611</v>
      </c>
      <c r="P292" s="57">
        <v>715760</v>
      </c>
      <c r="Q292" s="77">
        <v>0.4</v>
      </c>
      <c r="R292" s="57">
        <v>286304</v>
      </c>
      <c r="S292" s="57">
        <v>1002064.2858436001</v>
      </c>
      <c r="T292" s="106">
        <f>IF(A292="Upgrade",IF(OR(H292=4,H292=5),_xlfn.XLOOKUP(I292,'Renewal Rates'!$A$22:$A$27,'Renewal Rates'!$B$22:$B$27,'Renewal Rates'!$B$27,0),'Renewal Rates'!$F$7),IF(A292="Renewal",100%,0%))</f>
        <v>0</v>
      </c>
      <c r="U292" s="68">
        <f t="shared" si="4"/>
        <v>0</v>
      </c>
      <c r="V292" s="68"/>
    </row>
    <row r="293" spans="1:22" x14ac:dyDescent="0.3">
      <c r="A293" s="41" t="s">
        <v>21</v>
      </c>
      <c r="B293" s="51">
        <v>8.0090000000000003</v>
      </c>
      <c r="C293" s="58">
        <v>2000565380</v>
      </c>
      <c r="D293" s="86">
        <v>6.31</v>
      </c>
      <c r="E293" s="86"/>
      <c r="F293" s="52">
        <v>300</v>
      </c>
      <c r="G293" s="53">
        <v>600</v>
      </c>
      <c r="H293" s="52" t="s">
        <v>122</v>
      </c>
      <c r="I293" s="45" t="s">
        <v>122</v>
      </c>
      <c r="J293" s="41">
        <v>368</v>
      </c>
      <c r="K293" s="54" t="s">
        <v>23</v>
      </c>
      <c r="L293" s="54" t="s">
        <v>24</v>
      </c>
      <c r="M293" s="57">
        <v>66363</v>
      </c>
      <c r="N293" s="57">
        <v>10521</v>
      </c>
      <c r="O293" s="57">
        <v>22563</v>
      </c>
      <c r="P293" s="57">
        <v>88926</v>
      </c>
      <c r="Q293" s="77">
        <v>0.4</v>
      </c>
      <c r="R293" s="57">
        <v>35570</v>
      </c>
      <c r="S293" s="57">
        <v>124496.08</v>
      </c>
      <c r="T293" s="106">
        <f>IF(A293="Upgrade",IF(OR(H293=4,H293=5),_xlfn.XLOOKUP(I293,'Renewal Rates'!$A$22:$A$27,'Renewal Rates'!$B$22:$B$27,'Renewal Rates'!$B$27,0),'Renewal Rates'!$F$7),IF(A293="Renewal",100%,0%))</f>
        <v>2.6599999999999999E-2</v>
      </c>
      <c r="U293" s="68">
        <f t="shared" si="4"/>
        <v>3311.5957279999998</v>
      </c>
      <c r="V293" s="68"/>
    </row>
    <row r="294" spans="1:22" x14ac:dyDescent="0.3">
      <c r="A294" s="41" t="s">
        <v>21</v>
      </c>
      <c r="B294" s="51">
        <v>9.0090000000000003</v>
      </c>
      <c r="C294" s="58">
        <v>2000660300</v>
      </c>
      <c r="D294" s="86">
        <v>69.790000000000006</v>
      </c>
      <c r="E294" s="86"/>
      <c r="F294" s="52">
        <v>750</v>
      </c>
      <c r="G294" s="53">
        <v>1275</v>
      </c>
      <c r="H294" s="52" t="s">
        <v>122</v>
      </c>
      <c r="I294" s="45" t="s">
        <v>122</v>
      </c>
      <c r="J294" s="41">
        <v>375</v>
      </c>
      <c r="K294" s="54" t="s">
        <v>23</v>
      </c>
      <c r="L294" s="54" t="s">
        <v>24</v>
      </c>
      <c r="M294" s="57">
        <v>472805</v>
      </c>
      <c r="N294" s="57">
        <v>6775</v>
      </c>
      <c r="O294" s="57">
        <v>160754</v>
      </c>
      <c r="P294" s="57">
        <v>633559</v>
      </c>
      <c r="Q294" s="77">
        <v>0.4</v>
      </c>
      <c r="R294" s="57">
        <v>253424</v>
      </c>
      <c r="S294" s="57">
        <v>886982.99</v>
      </c>
      <c r="T294" s="106">
        <f>IF(A294="Upgrade",IF(OR(H294=4,H294=5),_xlfn.XLOOKUP(I294,'Renewal Rates'!$A$22:$A$27,'Renewal Rates'!$B$22:$B$27,'Renewal Rates'!$B$27,0),'Renewal Rates'!$F$7),IF(A294="Renewal",100%,0%))</f>
        <v>2.6599999999999999E-2</v>
      </c>
      <c r="U294" s="68">
        <f t="shared" si="4"/>
        <v>23593.747533999998</v>
      </c>
      <c r="V294" s="68"/>
    </row>
    <row r="295" spans="1:22" x14ac:dyDescent="0.3">
      <c r="A295" s="41" t="s">
        <v>21</v>
      </c>
      <c r="B295" s="51">
        <v>4.032</v>
      </c>
      <c r="C295" s="58">
        <v>2000828346</v>
      </c>
      <c r="D295" s="86">
        <v>11.73</v>
      </c>
      <c r="E295" s="86"/>
      <c r="F295" s="52">
        <v>225</v>
      </c>
      <c r="G295" s="53">
        <v>600</v>
      </c>
      <c r="H295" s="52" t="s">
        <v>122</v>
      </c>
      <c r="I295" s="45" t="s">
        <v>122</v>
      </c>
      <c r="J295" s="41">
        <v>374</v>
      </c>
      <c r="K295" s="54" t="s">
        <v>23</v>
      </c>
      <c r="L295" s="54" t="s">
        <v>24</v>
      </c>
      <c r="M295" s="57">
        <v>75032</v>
      </c>
      <c r="N295" s="57">
        <v>6395</v>
      </c>
      <c r="O295" s="57">
        <v>25511</v>
      </c>
      <c r="P295" s="57">
        <v>100542</v>
      </c>
      <c r="Q295" s="77">
        <v>0.4</v>
      </c>
      <c r="R295" s="57">
        <v>40217</v>
      </c>
      <c r="S295" s="57">
        <v>140759.48026839999</v>
      </c>
      <c r="T295" s="106">
        <f>IF(A295="Upgrade",IF(OR(H295=4,H295=5),_xlfn.XLOOKUP(I295,'Renewal Rates'!$A$22:$A$27,'Renewal Rates'!$B$22:$B$27,'Renewal Rates'!$B$27,0),'Renewal Rates'!$F$7),IF(A295="Renewal",100%,0%))</f>
        <v>2.6599999999999999E-2</v>
      </c>
      <c r="U295" s="68">
        <f t="shared" si="4"/>
        <v>3744.2021751394395</v>
      </c>
      <c r="V295" s="68"/>
    </row>
    <row r="296" spans="1:22" x14ac:dyDescent="0.3">
      <c r="A296" s="41" t="s">
        <v>21</v>
      </c>
      <c r="B296" s="51">
        <v>16.015000000000001</v>
      </c>
      <c r="C296" s="58">
        <v>2000398311</v>
      </c>
      <c r="D296" s="86">
        <v>7.75</v>
      </c>
      <c r="E296" s="86"/>
      <c r="F296" s="52">
        <v>300</v>
      </c>
      <c r="G296" s="53">
        <v>675</v>
      </c>
      <c r="H296" s="52" t="s">
        <v>122</v>
      </c>
      <c r="I296" s="45" t="s">
        <v>122</v>
      </c>
      <c r="J296" s="41">
        <v>376</v>
      </c>
      <c r="K296" s="54" t="s">
        <v>23</v>
      </c>
      <c r="L296" s="54" t="s">
        <v>24</v>
      </c>
      <c r="M296" s="57">
        <v>59289</v>
      </c>
      <c r="N296" s="57">
        <v>7647</v>
      </c>
      <c r="O296" s="57">
        <v>20158</v>
      </c>
      <c r="P296" s="57">
        <v>79447</v>
      </c>
      <c r="Q296" s="77">
        <v>0.4</v>
      </c>
      <c r="R296" s="57">
        <v>31779</v>
      </c>
      <c r="S296" s="57">
        <v>111226.08</v>
      </c>
      <c r="T296" s="106">
        <f>IF(A296="Upgrade",IF(OR(H296=4,H296=5),_xlfn.XLOOKUP(I296,'Renewal Rates'!$A$22:$A$27,'Renewal Rates'!$B$22:$B$27,'Renewal Rates'!$B$27,0),'Renewal Rates'!$F$7),IF(A296="Renewal",100%,0%))</f>
        <v>2.6599999999999999E-2</v>
      </c>
      <c r="U296" s="68">
        <f t="shared" si="4"/>
        <v>2958.6137279999998</v>
      </c>
      <c r="V296" s="68"/>
    </row>
    <row r="297" spans="1:22" x14ac:dyDescent="0.3">
      <c r="A297" s="41" t="s">
        <v>21</v>
      </c>
      <c r="B297" s="51">
        <v>8.0169999999999995</v>
      </c>
      <c r="C297" s="58">
        <v>2000072973</v>
      </c>
      <c r="D297" s="86">
        <v>25.12</v>
      </c>
      <c r="E297" s="86"/>
      <c r="F297" s="52">
        <v>300</v>
      </c>
      <c r="G297" s="53">
        <v>450</v>
      </c>
      <c r="H297" s="52" t="s">
        <v>122</v>
      </c>
      <c r="I297" s="45" t="s">
        <v>122</v>
      </c>
      <c r="J297" s="41">
        <v>368</v>
      </c>
      <c r="K297" s="54" t="s">
        <v>23</v>
      </c>
      <c r="L297" s="54" t="s">
        <v>24</v>
      </c>
      <c r="M297" s="57">
        <v>81731</v>
      </c>
      <c r="N297" s="57">
        <v>3254</v>
      </c>
      <c r="O297" s="57">
        <v>27788</v>
      </c>
      <c r="P297" s="57">
        <v>109519</v>
      </c>
      <c r="Q297" s="77">
        <v>0.4</v>
      </c>
      <c r="R297" s="57">
        <v>43808</v>
      </c>
      <c r="S297" s="57">
        <v>153326.9</v>
      </c>
      <c r="T297" s="106">
        <f>IF(A297="Upgrade",IF(OR(H297=4,H297=5),_xlfn.XLOOKUP(I297,'Renewal Rates'!$A$22:$A$27,'Renewal Rates'!$B$22:$B$27,'Renewal Rates'!$B$27,0),'Renewal Rates'!$F$7),IF(A297="Renewal",100%,0%))</f>
        <v>2.6599999999999999E-2</v>
      </c>
      <c r="U297" s="68">
        <f t="shared" si="4"/>
        <v>4078.4955399999994</v>
      </c>
      <c r="V297" s="68"/>
    </row>
    <row r="298" spans="1:22" x14ac:dyDescent="0.3">
      <c r="A298" s="41" t="s">
        <v>21</v>
      </c>
      <c r="B298" s="51">
        <v>4.0350000000000001</v>
      </c>
      <c r="C298" s="58">
        <v>2000900429</v>
      </c>
      <c r="D298" s="86">
        <v>74.98</v>
      </c>
      <c r="E298" s="86"/>
      <c r="F298" s="52">
        <v>450</v>
      </c>
      <c r="G298" s="53">
        <v>675</v>
      </c>
      <c r="H298" s="52" t="s">
        <v>122</v>
      </c>
      <c r="I298" s="45" t="s">
        <v>122</v>
      </c>
      <c r="J298" s="41">
        <v>374</v>
      </c>
      <c r="K298" s="54" t="s">
        <v>23</v>
      </c>
      <c r="L298" s="54" t="s">
        <v>24</v>
      </c>
      <c r="M298" s="57">
        <v>300746</v>
      </c>
      <c r="N298" s="57">
        <v>4011</v>
      </c>
      <c r="O298" s="57">
        <v>102254</v>
      </c>
      <c r="P298" s="57">
        <v>403000</v>
      </c>
      <c r="Q298" s="77">
        <v>0.4</v>
      </c>
      <c r="R298" s="57">
        <v>161200</v>
      </c>
      <c r="S298" s="57">
        <v>564199.50012720004</v>
      </c>
      <c r="T298" s="106">
        <f>IF(A298="Upgrade",IF(OR(H298=4,H298=5),_xlfn.XLOOKUP(I298,'Renewal Rates'!$A$22:$A$27,'Renewal Rates'!$B$22:$B$27,'Renewal Rates'!$B$27,0),'Renewal Rates'!$F$7),IF(A298="Renewal",100%,0%))</f>
        <v>2.6599999999999999E-2</v>
      </c>
      <c r="U298" s="68">
        <f t="shared" si="4"/>
        <v>15007.706703383521</v>
      </c>
      <c r="V298" s="68"/>
    </row>
    <row r="299" spans="1:22" x14ac:dyDescent="0.3">
      <c r="A299" s="41" t="s">
        <v>21</v>
      </c>
      <c r="B299" s="51">
        <v>10.016</v>
      </c>
      <c r="C299" s="58">
        <v>2000938325</v>
      </c>
      <c r="D299" s="86">
        <v>77.83</v>
      </c>
      <c r="E299" s="86"/>
      <c r="F299" s="52">
        <v>525</v>
      </c>
      <c r="G299" s="53">
        <v>675</v>
      </c>
      <c r="H299" s="52" t="s">
        <v>122</v>
      </c>
      <c r="I299" s="45" t="s">
        <v>122</v>
      </c>
      <c r="J299" s="41">
        <v>377</v>
      </c>
      <c r="K299" s="54" t="s">
        <v>23</v>
      </c>
      <c r="L299" s="54" t="s">
        <v>24</v>
      </c>
      <c r="M299" s="57">
        <v>304158</v>
      </c>
      <c r="N299" s="57">
        <v>3908</v>
      </c>
      <c r="O299" s="57">
        <v>103414</v>
      </c>
      <c r="P299" s="57">
        <v>407571</v>
      </c>
      <c r="Q299" s="77">
        <v>0.4</v>
      </c>
      <c r="R299" s="57">
        <v>163029</v>
      </c>
      <c r="S299" s="57">
        <v>570599.91</v>
      </c>
      <c r="T299" s="106">
        <f>IF(A299="Upgrade",IF(OR(H299=4,H299=5),_xlfn.XLOOKUP(I299,'Renewal Rates'!$A$22:$A$27,'Renewal Rates'!$B$22:$B$27,'Renewal Rates'!$B$27,0),'Renewal Rates'!$F$7),IF(A299="Renewal",100%,0%))</f>
        <v>2.6599999999999999E-2</v>
      </c>
      <c r="U299" s="68">
        <f t="shared" si="4"/>
        <v>15177.957606</v>
      </c>
      <c r="V299" s="68"/>
    </row>
    <row r="300" spans="1:22" x14ac:dyDescent="0.3">
      <c r="A300" s="41" t="s">
        <v>21</v>
      </c>
      <c r="B300" s="51">
        <v>9.0069999999999997</v>
      </c>
      <c r="C300" s="58">
        <v>2000801151</v>
      </c>
      <c r="D300" s="86">
        <v>29.29</v>
      </c>
      <c r="E300" s="86"/>
      <c r="F300" s="52">
        <v>450</v>
      </c>
      <c r="G300" s="53">
        <v>900</v>
      </c>
      <c r="H300" s="52" t="s">
        <v>122</v>
      </c>
      <c r="I300" s="45" t="s">
        <v>122</v>
      </c>
      <c r="J300" s="41">
        <v>368</v>
      </c>
      <c r="K300" s="54" t="s">
        <v>23</v>
      </c>
      <c r="L300" s="54" t="s">
        <v>24</v>
      </c>
      <c r="M300" s="57">
        <v>169393</v>
      </c>
      <c r="N300" s="57">
        <v>5784</v>
      </c>
      <c r="O300" s="57">
        <v>57594</v>
      </c>
      <c r="P300" s="57">
        <v>226986</v>
      </c>
      <c r="Q300" s="77">
        <v>0.4</v>
      </c>
      <c r="R300" s="57">
        <v>90795</v>
      </c>
      <c r="S300" s="57">
        <v>317781.03000000003</v>
      </c>
      <c r="T300" s="106">
        <f>IF(A300="Upgrade",IF(OR(H300=4,H300=5),_xlfn.XLOOKUP(I300,'Renewal Rates'!$A$22:$A$27,'Renewal Rates'!$B$22:$B$27,'Renewal Rates'!$B$27,0),'Renewal Rates'!$F$7),IF(A300="Renewal",100%,0%))</f>
        <v>2.6599999999999999E-2</v>
      </c>
      <c r="U300" s="68">
        <f t="shared" si="4"/>
        <v>8452.9753980000005</v>
      </c>
      <c r="V300" s="68"/>
    </row>
    <row r="301" spans="1:22" x14ac:dyDescent="0.3">
      <c r="A301" s="41" t="s">
        <v>21</v>
      </c>
      <c r="B301" s="51">
        <v>13.01</v>
      </c>
      <c r="C301" s="58">
        <v>3000095931</v>
      </c>
      <c r="D301" s="86">
        <v>6.9532499999999997</v>
      </c>
      <c r="E301" s="86"/>
      <c r="F301" s="52">
        <v>300</v>
      </c>
      <c r="G301" s="53">
        <v>825</v>
      </c>
      <c r="H301" s="52" t="s">
        <v>122</v>
      </c>
      <c r="I301" s="45" t="s">
        <v>122</v>
      </c>
      <c r="J301" s="41">
        <v>377</v>
      </c>
      <c r="K301" s="54" t="s">
        <v>23</v>
      </c>
      <c r="L301" s="54" t="s">
        <v>24</v>
      </c>
      <c r="M301" s="57">
        <v>83077</v>
      </c>
      <c r="N301" s="57">
        <v>11948</v>
      </c>
      <c r="O301" s="57">
        <v>28246</v>
      </c>
      <c r="P301" s="57">
        <v>111323</v>
      </c>
      <c r="Q301" s="77">
        <v>0.4</v>
      </c>
      <c r="R301" s="57">
        <v>44529</v>
      </c>
      <c r="S301" s="57">
        <v>155852.26999999999</v>
      </c>
      <c r="T301" s="106">
        <f>IF(A301="Upgrade",IF(OR(H301=4,H301=5),_xlfn.XLOOKUP(I301,'Renewal Rates'!$A$22:$A$27,'Renewal Rates'!$B$22:$B$27,'Renewal Rates'!$B$27,0),'Renewal Rates'!$F$7),IF(A301="Renewal",100%,0%))</f>
        <v>2.6599999999999999E-2</v>
      </c>
      <c r="U301" s="68">
        <f t="shared" si="4"/>
        <v>4145.6703819999993</v>
      </c>
      <c r="V301" s="68"/>
    </row>
    <row r="302" spans="1:22" x14ac:dyDescent="0.3">
      <c r="A302" s="41" t="s">
        <v>21</v>
      </c>
      <c r="B302" s="51">
        <v>17.036999999999999</v>
      </c>
      <c r="C302" s="58">
        <v>2000931586</v>
      </c>
      <c r="D302" s="86">
        <v>154.931848</v>
      </c>
      <c r="E302" s="86"/>
      <c r="F302" s="52">
        <v>1800</v>
      </c>
      <c r="G302" s="53">
        <v>2400</v>
      </c>
      <c r="H302" s="52">
        <v>4</v>
      </c>
      <c r="I302" s="45">
        <v>3</v>
      </c>
      <c r="J302" s="41">
        <v>376</v>
      </c>
      <c r="K302" s="54" t="s">
        <v>23</v>
      </c>
      <c r="L302" s="54" t="s">
        <v>24</v>
      </c>
      <c r="M302" s="57">
        <v>2363055</v>
      </c>
      <c r="N302" s="57">
        <v>14842</v>
      </c>
      <c r="O302" s="57">
        <v>803439</v>
      </c>
      <c r="P302" s="57">
        <v>3166494</v>
      </c>
      <c r="Q302" s="77">
        <v>0.4</v>
      </c>
      <c r="R302" s="57">
        <v>1266598</v>
      </c>
      <c r="S302" s="57">
        <v>4433091.41</v>
      </c>
      <c r="T302" s="106">
        <f>IF(A302="Upgrade",IF(OR(H302=4,H302=5),_xlfn.XLOOKUP(I302,'Renewal Rates'!$A$22:$A$27,'Renewal Rates'!$B$22:$B$27,'Renewal Rates'!$B$27,0),'Renewal Rates'!$F$7),IF(A302="Renewal",100%,0%))</f>
        <v>0.21</v>
      </c>
      <c r="U302" s="68">
        <f t="shared" si="4"/>
        <v>930949.19609999994</v>
      </c>
      <c r="V302" s="68"/>
    </row>
    <row r="303" spans="1:22" x14ac:dyDescent="0.3">
      <c r="A303" s="41" t="s">
        <v>21</v>
      </c>
      <c r="B303" s="51">
        <v>4.0069999999999997</v>
      </c>
      <c r="C303" s="58">
        <v>2000826253</v>
      </c>
      <c r="D303" s="86">
        <v>45.7</v>
      </c>
      <c r="E303" s="86"/>
      <c r="F303" s="52">
        <v>375</v>
      </c>
      <c r="G303" s="53">
        <v>750</v>
      </c>
      <c r="H303" s="52" t="s">
        <v>122</v>
      </c>
      <c r="I303" s="45" t="s">
        <v>122</v>
      </c>
      <c r="J303" s="41">
        <v>374</v>
      </c>
      <c r="K303" s="54" t="s">
        <v>23</v>
      </c>
      <c r="L303" s="54" t="s">
        <v>24</v>
      </c>
      <c r="M303" s="57">
        <v>189431</v>
      </c>
      <c r="N303" s="57">
        <v>4145</v>
      </c>
      <c r="O303" s="57">
        <v>64406</v>
      </c>
      <c r="P303" s="57">
        <v>253837</v>
      </c>
      <c r="Q303" s="77">
        <v>0.4</v>
      </c>
      <c r="R303" s="57">
        <v>101535</v>
      </c>
      <c r="S303" s="57">
        <v>355372.10801120003</v>
      </c>
      <c r="T303" s="106">
        <f>IF(A303="Upgrade",IF(OR(H303=4,H303=5),_xlfn.XLOOKUP(I303,'Renewal Rates'!$A$22:$A$27,'Renewal Rates'!$B$22:$B$27,'Renewal Rates'!$B$27,0),'Renewal Rates'!$F$7),IF(A303="Renewal",100%,0%))</f>
        <v>2.6599999999999999E-2</v>
      </c>
      <c r="U303" s="68">
        <f t="shared" si="4"/>
        <v>9452.8980730979201</v>
      </c>
      <c r="V303" s="68"/>
    </row>
    <row r="304" spans="1:22" x14ac:dyDescent="0.3">
      <c r="A304" s="41" t="s">
        <v>21</v>
      </c>
      <c r="B304" s="51">
        <v>1.012</v>
      </c>
      <c r="C304" s="58">
        <v>2000751203</v>
      </c>
      <c r="D304" s="86">
        <v>40.93</v>
      </c>
      <c r="E304" s="86"/>
      <c r="F304" s="52">
        <v>300</v>
      </c>
      <c r="G304" s="53">
        <v>525</v>
      </c>
      <c r="H304" s="52" t="s">
        <v>122</v>
      </c>
      <c r="I304" s="45" t="s">
        <v>122</v>
      </c>
      <c r="J304" s="41">
        <v>368</v>
      </c>
      <c r="K304" s="54" t="s">
        <v>23</v>
      </c>
      <c r="L304" s="54" t="s">
        <v>24</v>
      </c>
      <c r="M304" s="57">
        <v>138026</v>
      </c>
      <c r="N304" s="57">
        <v>3367</v>
      </c>
      <c r="O304" s="57">
        <v>46929</v>
      </c>
      <c r="P304" s="57">
        <v>184955</v>
      </c>
      <c r="Q304" s="77">
        <v>0.4</v>
      </c>
      <c r="R304" s="57">
        <v>73982</v>
      </c>
      <c r="S304" s="57">
        <v>258937.04</v>
      </c>
      <c r="T304" s="106">
        <f>IF(A304="Upgrade",IF(OR(H304=4,H304=5),_xlfn.XLOOKUP(I304,'Renewal Rates'!$A$22:$A$27,'Renewal Rates'!$B$22:$B$27,'Renewal Rates'!$B$27,0),'Renewal Rates'!$F$7),IF(A304="Renewal",100%,0%))</f>
        <v>2.6599999999999999E-2</v>
      </c>
      <c r="U304" s="68">
        <f t="shared" si="4"/>
        <v>6887.7252639999997</v>
      </c>
      <c r="V304" s="68"/>
    </row>
    <row r="305" spans="1:22" x14ac:dyDescent="0.3">
      <c r="A305" s="41" t="s">
        <v>21</v>
      </c>
      <c r="B305" s="51">
        <v>17.015999999999998</v>
      </c>
      <c r="C305" s="58">
        <v>3000015172</v>
      </c>
      <c r="D305" s="86">
        <v>62.705488000000003</v>
      </c>
      <c r="E305" s="86"/>
      <c r="F305" s="52">
        <v>225</v>
      </c>
      <c r="G305" s="53">
        <v>600</v>
      </c>
      <c r="H305" s="52" t="s">
        <v>122</v>
      </c>
      <c r="I305" s="45" t="s">
        <v>122</v>
      </c>
      <c r="J305" s="41">
        <v>376</v>
      </c>
      <c r="K305" s="54" t="s">
        <v>23</v>
      </c>
      <c r="L305" s="54" t="s">
        <v>24</v>
      </c>
      <c r="M305" s="57">
        <v>240284</v>
      </c>
      <c r="N305" s="57">
        <v>3832</v>
      </c>
      <c r="O305" s="57">
        <v>81696</v>
      </c>
      <c r="P305" s="57">
        <v>321980</v>
      </c>
      <c r="Q305" s="77">
        <v>0.4</v>
      </c>
      <c r="R305" s="57">
        <v>128792</v>
      </c>
      <c r="S305" s="57">
        <v>450772.1</v>
      </c>
      <c r="T305" s="106">
        <f>IF(A305="Upgrade",IF(OR(H305=4,H305=5),_xlfn.XLOOKUP(I305,'Renewal Rates'!$A$22:$A$27,'Renewal Rates'!$B$22:$B$27,'Renewal Rates'!$B$27,0),'Renewal Rates'!$F$7),IF(A305="Renewal",100%,0%))</f>
        <v>2.6599999999999999E-2</v>
      </c>
      <c r="U305" s="68">
        <f t="shared" si="4"/>
        <v>11990.537859999999</v>
      </c>
      <c r="V305" s="68"/>
    </row>
    <row r="306" spans="1:22" x14ac:dyDescent="0.3">
      <c r="A306" s="41" t="s">
        <v>21</v>
      </c>
      <c r="B306" s="51">
        <v>1.0129999999999999</v>
      </c>
      <c r="C306" s="58">
        <v>2000634015</v>
      </c>
      <c r="D306" s="86">
        <v>31.98</v>
      </c>
      <c r="E306" s="86"/>
      <c r="F306" s="52">
        <v>450</v>
      </c>
      <c r="G306" s="53">
        <v>675</v>
      </c>
      <c r="H306" s="52" t="s">
        <v>122</v>
      </c>
      <c r="I306" s="45" t="s">
        <v>122</v>
      </c>
      <c r="J306" s="41">
        <v>377</v>
      </c>
      <c r="K306" s="54" t="s">
        <v>23</v>
      </c>
      <c r="L306" s="54" t="s">
        <v>24</v>
      </c>
      <c r="M306" s="57">
        <v>169993</v>
      </c>
      <c r="N306" s="57">
        <v>5315</v>
      </c>
      <c r="O306" s="57">
        <v>57797</v>
      </c>
      <c r="P306" s="57">
        <v>227790</v>
      </c>
      <c r="Q306" s="77">
        <v>0.4</v>
      </c>
      <c r="R306" s="57">
        <v>91116</v>
      </c>
      <c r="S306" s="57">
        <v>318906.12</v>
      </c>
      <c r="T306" s="106">
        <f>IF(A306="Upgrade",IF(OR(H306=4,H306=5),_xlfn.XLOOKUP(I306,'Renewal Rates'!$A$22:$A$27,'Renewal Rates'!$B$22:$B$27,'Renewal Rates'!$B$27,0),'Renewal Rates'!$F$7),IF(A306="Renewal",100%,0%))</f>
        <v>2.6599999999999999E-2</v>
      </c>
      <c r="U306" s="68">
        <f t="shared" si="4"/>
        <v>8482.902791999999</v>
      </c>
      <c r="V306" s="68"/>
    </row>
    <row r="307" spans="1:22" x14ac:dyDescent="0.3">
      <c r="A307" s="41" t="s">
        <v>21</v>
      </c>
      <c r="B307" s="51">
        <v>4.0350000000000001</v>
      </c>
      <c r="C307" s="58">
        <v>2000497424</v>
      </c>
      <c r="D307" s="86">
        <v>93.32</v>
      </c>
      <c r="E307" s="86"/>
      <c r="F307" s="52">
        <v>375</v>
      </c>
      <c r="G307" s="53">
        <v>675</v>
      </c>
      <c r="H307" s="52" t="s">
        <v>122</v>
      </c>
      <c r="I307" s="45" t="s">
        <v>122</v>
      </c>
      <c r="J307" s="41">
        <v>374</v>
      </c>
      <c r="K307" s="54" t="s">
        <v>23</v>
      </c>
      <c r="L307" s="54" t="s">
        <v>24</v>
      </c>
      <c r="M307" s="57">
        <v>342121</v>
      </c>
      <c r="N307" s="57">
        <v>3666</v>
      </c>
      <c r="O307" s="57">
        <v>116321</v>
      </c>
      <c r="P307" s="57">
        <v>458443</v>
      </c>
      <c r="Q307" s="77">
        <v>0.4</v>
      </c>
      <c r="R307" s="57">
        <v>183377</v>
      </c>
      <c r="S307" s="57">
        <v>641819.74077200005</v>
      </c>
      <c r="T307" s="106">
        <f>IF(A307="Upgrade",IF(OR(H307=4,H307=5),_xlfn.XLOOKUP(I307,'Renewal Rates'!$A$22:$A$27,'Renewal Rates'!$B$22:$B$27,'Renewal Rates'!$B$27,0),'Renewal Rates'!$F$7),IF(A307="Renewal",100%,0%))</f>
        <v>2.6599999999999999E-2</v>
      </c>
      <c r="U307" s="68">
        <f t="shared" si="4"/>
        <v>17072.405104535199</v>
      </c>
      <c r="V307" s="68"/>
    </row>
    <row r="308" spans="1:22" x14ac:dyDescent="0.3">
      <c r="A308" s="41" t="s">
        <v>21</v>
      </c>
      <c r="B308" s="51" t="s">
        <v>40</v>
      </c>
      <c r="C308" s="58">
        <v>2000779948</v>
      </c>
      <c r="D308" s="86">
        <v>31.506523000000001</v>
      </c>
      <c r="E308" s="86"/>
      <c r="F308" s="52">
        <v>450</v>
      </c>
      <c r="G308" s="53">
        <v>975</v>
      </c>
      <c r="H308" s="52" t="s">
        <v>122</v>
      </c>
      <c r="I308" s="45" t="s">
        <v>122</v>
      </c>
      <c r="J308" s="41">
        <v>376</v>
      </c>
      <c r="K308" s="54" t="s">
        <v>23</v>
      </c>
      <c r="L308" s="54" t="s">
        <v>24</v>
      </c>
      <c r="M308" s="57">
        <v>255202</v>
      </c>
      <c r="N308" s="57">
        <v>8100</v>
      </c>
      <c r="O308" s="57">
        <v>86769</v>
      </c>
      <c r="P308" s="57">
        <v>341970</v>
      </c>
      <c r="Q308" s="77">
        <v>0.4</v>
      </c>
      <c r="R308" s="57">
        <v>136788</v>
      </c>
      <c r="S308" s="57">
        <v>478758.54</v>
      </c>
      <c r="T308" s="106">
        <f>IF(A308="Upgrade",IF(OR(H308=4,H308=5),_xlfn.XLOOKUP(I308,'Renewal Rates'!$A$22:$A$27,'Renewal Rates'!$B$22:$B$27,'Renewal Rates'!$B$27,0),'Renewal Rates'!$F$7),IF(A308="Renewal",100%,0%))</f>
        <v>2.6599999999999999E-2</v>
      </c>
      <c r="U308" s="68">
        <f t="shared" si="4"/>
        <v>12734.977163999998</v>
      </c>
      <c r="V308" s="68"/>
    </row>
    <row r="309" spans="1:22" x14ac:dyDescent="0.3">
      <c r="A309" s="41" t="s">
        <v>21</v>
      </c>
      <c r="B309" s="51">
        <v>4.032</v>
      </c>
      <c r="C309" s="58">
        <v>2000043411</v>
      </c>
      <c r="D309" s="86">
        <v>8.2899999999999991</v>
      </c>
      <c r="E309" s="86"/>
      <c r="F309" s="52">
        <v>450</v>
      </c>
      <c r="G309" s="53">
        <v>600</v>
      </c>
      <c r="H309" s="52" t="s">
        <v>122</v>
      </c>
      <c r="I309" s="45" t="s">
        <v>122</v>
      </c>
      <c r="J309" s="41">
        <v>374</v>
      </c>
      <c r="K309" s="54" t="s">
        <v>23</v>
      </c>
      <c r="L309" s="54" t="s">
        <v>24</v>
      </c>
      <c r="M309" s="57">
        <v>52036</v>
      </c>
      <c r="N309" s="57">
        <v>6274</v>
      </c>
      <c r="O309" s="57">
        <v>17692</v>
      </c>
      <c r="P309" s="57">
        <v>69729</v>
      </c>
      <c r="Q309" s="77">
        <v>0.4</v>
      </c>
      <c r="R309" s="57">
        <v>27892</v>
      </c>
      <c r="S309" s="57">
        <v>97620.446798000004</v>
      </c>
      <c r="T309" s="106">
        <f>IF(A309="Upgrade",IF(OR(H309=4,H309=5),_xlfn.XLOOKUP(I309,'Renewal Rates'!$A$22:$A$27,'Renewal Rates'!$B$22:$B$27,'Renewal Rates'!$B$27,0),'Renewal Rates'!$F$7),IF(A309="Renewal",100%,0%))</f>
        <v>2.6599999999999999E-2</v>
      </c>
      <c r="U309" s="68">
        <f t="shared" si="4"/>
        <v>2596.7038848267998</v>
      </c>
      <c r="V309" s="68"/>
    </row>
    <row r="310" spans="1:22" x14ac:dyDescent="0.3">
      <c r="A310" s="41" t="s">
        <v>21</v>
      </c>
      <c r="B310" s="51">
        <v>8.0090000000000003</v>
      </c>
      <c r="C310" s="58">
        <v>2000060161</v>
      </c>
      <c r="D310" s="86">
        <v>26.52</v>
      </c>
      <c r="E310" s="86"/>
      <c r="F310" s="52">
        <v>300</v>
      </c>
      <c r="G310" s="53">
        <v>600</v>
      </c>
      <c r="H310" s="52" t="s">
        <v>122</v>
      </c>
      <c r="I310" s="45" t="s">
        <v>122</v>
      </c>
      <c r="J310" s="41">
        <v>368</v>
      </c>
      <c r="K310" s="54" t="s">
        <v>23</v>
      </c>
      <c r="L310" s="54" t="s">
        <v>24</v>
      </c>
      <c r="M310" s="57">
        <v>109758</v>
      </c>
      <c r="N310" s="57">
        <v>4139</v>
      </c>
      <c r="O310" s="57">
        <v>37318</v>
      </c>
      <c r="P310" s="57">
        <v>147075</v>
      </c>
      <c r="Q310" s="77">
        <v>0.4</v>
      </c>
      <c r="R310" s="57">
        <v>58830</v>
      </c>
      <c r="S310" s="57">
        <v>205905.21</v>
      </c>
      <c r="T310" s="106">
        <f>IF(A310="Upgrade",IF(OR(H310=4,H310=5),_xlfn.XLOOKUP(I310,'Renewal Rates'!$A$22:$A$27,'Renewal Rates'!$B$22:$B$27,'Renewal Rates'!$B$27,0),'Renewal Rates'!$F$7),IF(A310="Renewal",100%,0%))</f>
        <v>2.6599999999999999E-2</v>
      </c>
      <c r="U310" s="68">
        <f t="shared" si="4"/>
        <v>5477.0785859999996</v>
      </c>
      <c r="V310" s="68"/>
    </row>
    <row r="311" spans="1:22" x14ac:dyDescent="0.3">
      <c r="A311" s="41" t="s">
        <v>21</v>
      </c>
      <c r="B311" s="51">
        <v>9.0139999999999993</v>
      </c>
      <c r="C311" s="58">
        <v>2000514771</v>
      </c>
      <c r="D311" s="86">
        <v>13.68</v>
      </c>
      <c r="E311" s="86"/>
      <c r="F311" s="52">
        <v>450</v>
      </c>
      <c r="G311" s="53">
        <v>750</v>
      </c>
      <c r="H311" s="52" t="s">
        <v>122</v>
      </c>
      <c r="I311" s="45" t="s">
        <v>122</v>
      </c>
      <c r="J311" s="41">
        <v>375</v>
      </c>
      <c r="K311" s="54" t="s">
        <v>23</v>
      </c>
      <c r="L311" s="54" t="s">
        <v>24</v>
      </c>
      <c r="M311" s="57">
        <v>87580</v>
      </c>
      <c r="N311" s="57">
        <v>6404</v>
      </c>
      <c r="O311" s="57">
        <v>29777</v>
      </c>
      <c r="P311" s="57">
        <v>117358</v>
      </c>
      <c r="Q311" s="77">
        <v>0.4</v>
      </c>
      <c r="R311" s="57">
        <v>46943</v>
      </c>
      <c r="S311" s="57">
        <v>164300.76999999999</v>
      </c>
      <c r="T311" s="106">
        <f>IF(A311="Upgrade",IF(OR(H311=4,H311=5),_xlfn.XLOOKUP(I311,'Renewal Rates'!$A$22:$A$27,'Renewal Rates'!$B$22:$B$27,'Renewal Rates'!$B$27,0),'Renewal Rates'!$F$7),IF(A311="Renewal",100%,0%))</f>
        <v>2.6599999999999999E-2</v>
      </c>
      <c r="U311" s="68">
        <f t="shared" si="4"/>
        <v>4370.4004819999991</v>
      </c>
      <c r="V311" s="68"/>
    </row>
    <row r="312" spans="1:22" x14ac:dyDescent="0.3">
      <c r="A312" s="41" t="s">
        <v>21</v>
      </c>
      <c r="B312" s="51">
        <v>16.007000000000001</v>
      </c>
      <c r="C312" s="58">
        <v>2000700879</v>
      </c>
      <c r="D312" s="86">
        <v>43.41</v>
      </c>
      <c r="E312" s="86"/>
      <c r="F312" s="52">
        <v>300</v>
      </c>
      <c r="G312" s="53">
        <v>525</v>
      </c>
      <c r="H312" s="52" t="s">
        <v>122</v>
      </c>
      <c r="I312" s="45" t="s">
        <v>122</v>
      </c>
      <c r="J312" s="41">
        <v>376</v>
      </c>
      <c r="K312" s="54" t="s">
        <v>23</v>
      </c>
      <c r="L312" s="54" t="s">
        <v>24</v>
      </c>
      <c r="M312" s="57">
        <v>140137</v>
      </c>
      <c r="N312" s="57">
        <v>3228</v>
      </c>
      <c r="O312" s="57">
        <v>47647</v>
      </c>
      <c r="P312" s="57">
        <v>187783</v>
      </c>
      <c r="Q312" s="77">
        <v>0.4</v>
      </c>
      <c r="R312" s="57">
        <v>75113</v>
      </c>
      <c r="S312" s="57">
        <v>262896.56</v>
      </c>
      <c r="T312" s="106">
        <f>IF(A312="Upgrade",IF(OR(H312=4,H312=5),_xlfn.XLOOKUP(I312,'Renewal Rates'!$A$22:$A$27,'Renewal Rates'!$B$22:$B$27,'Renewal Rates'!$B$27,0),'Renewal Rates'!$F$7),IF(A312="Renewal",100%,0%))</f>
        <v>2.6599999999999999E-2</v>
      </c>
      <c r="U312" s="68">
        <f t="shared" si="4"/>
        <v>6993.0484959999994</v>
      </c>
      <c r="V312" s="68"/>
    </row>
    <row r="313" spans="1:22" x14ac:dyDescent="0.3">
      <c r="A313" s="41" t="s">
        <v>21</v>
      </c>
      <c r="B313" s="51">
        <v>9.0069999999999997</v>
      </c>
      <c r="C313" s="58">
        <v>2000370934</v>
      </c>
      <c r="D313" s="86">
        <v>12.2</v>
      </c>
      <c r="E313" s="86"/>
      <c r="F313" s="52">
        <v>450</v>
      </c>
      <c r="G313" s="53">
        <v>900</v>
      </c>
      <c r="H313" s="52" t="s">
        <v>122</v>
      </c>
      <c r="I313" s="45" t="s">
        <v>122</v>
      </c>
      <c r="J313" s="41">
        <v>368</v>
      </c>
      <c r="K313" s="54" t="s">
        <v>23</v>
      </c>
      <c r="L313" s="54" t="s">
        <v>24</v>
      </c>
      <c r="M313" s="57">
        <v>95156</v>
      </c>
      <c r="N313" s="57">
        <v>7800</v>
      </c>
      <c r="O313" s="57">
        <v>32353</v>
      </c>
      <c r="P313" s="57">
        <v>127509</v>
      </c>
      <c r="Q313" s="77">
        <v>0.4</v>
      </c>
      <c r="R313" s="57">
        <v>51004</v>
      </c>
      <c r="S313" s="57">
        <v>178513.25</v>
      </c>
      <c r="T313" s="106">
        <f>IF(A313="Upgrade",IF(OR(H313=4,H313=5),_xlfn.XLOOKUP(I313,'Renewal Rates'!$A$22:$A$27,'Renewal Rates'!$B$22:$B$27,'Renewal Rates'!$B$27,0),'Renewal Rates'!$F$7),IF(A313="Renewal",100%,0%))</f>
        <v>2.6599999999999999E-2</v>
      </c>
      <c r="U313" s="68">
        <f t="shared" si="4"/>
        <v>4748.4524499999998</v>
      </c>
      <c r="V313" s="68"/>
    </row>
    <row r="314" spans="1:22" x14ac:dyDescent="0.3">
      <c r="A314" s="41" t="s">
        <v>21</v>
      </c>
      <c r="B314" s="51">
        <v>17.033000000000001</v>
      </c>
      <c r="C314" s="58">
        <v>2000903279</v>
      </c>
      <c r="D314" s="86">
        <v>76.25</v>
      </c>
      <c r="E314" s="86"/>
      <c r="F314" s="52">
        <v>375</v>
      </c>
      <c r="G314" s="53">
        <v>750</v>
      </c>
      <c r="H314" s="52" t="s">
        <v>122</v>
      </c>
      <c r="I314" s="45" t="s">
        <v>122</v>
      </c>
      <c r="J314" s="41">
        <v>376</v>
      </c>
      <c r="K314" s="54" t="s">
        <v>23</v>
      </c>
      <c r="L314" s="54" t="s">
        <v>24</v>
      </c>
      <c r="M314" s="57">
        <v>356622</v>
      </c>
      <c r="N314" s="57">
        <v>4677</v>
      </c>
      <c r="O314" s="57">
        <v>121252</v>
      </c>
      <c r="P314" s="57">
        <v>477874</v>
      </c>
      <c r="Q314" s="77">
        <v>0.4</v>
      </c>
      <c r="R314" s="57">
        <v>191150</v>
      </c>
      <c r="S314" s="57">
        <v>669023.68000000005</v>
      </c>
      <c r="T314" s="106">
        <f>IF(A314="Upgrade",IF(OR(H314=4,H314=5),_xlfn.XLOOKUP(I314,'Renewal Rates'!$A$22:$A$27,'Renewal Rates'!$B$22:$B$27,'Renewal Rates'!$B$27,0),'Renewal Rates'!$F$7),IF(A314="Renewal",100%,0%))</f>
        <v>2.6599999999999999E-2</v>
      </c>
      <c r="U314" s="68">
        <f t="shared" si="4"/>
        <v>17796.029888000001</v>
      </c>
      <c r="V314" s="68"/>
    </row>
    <row r="315" spans="1:22" x14ac:dyDescent="0.3">
      <c r="A315" s="41" t="s">
        <v>21</v>
      </c>
      <c r="B315" s="51">
        <v>16.013999999999999</v>
      </c>
      <c r="C315" s="58">
        <v>3000042696</v>
      </c>
      <c r="D315" s="86">
        <v>44.61</v>
      </c>
      <c r="E315" s="86"/>
      <c r="F315" s="52">
        <v>300</v>
      </c>
      <c r="G315" s="53">
        <v>750</v>
      </c>
      <c r="H315" s="52">
        <v>4</v>
      </c>
      <c r="I315" s="45">
        <v>3</v>
      </c>
      <c r="J315" s="41">
        <v>376</v>
      </c>
      <c r="K315" s="54" t="s">
        <v>23</v>
      </c>
      <c r="L315" s="54" t="s">
        <v>24</v>
      </c>
      <c r="M315" s="57">
        <v>187948</v>
      </c>
      <c r="N315" s="57">
        <v>4214</v>
      </c>
      <c r="O315" s="57">
        <v>63902</v>
      </c>
      <c r="P315" s="57">
        <v>251850</v>
      </c>
      <c r="Q315" s="77">
        <v>0.4</v>
      </c>
      <c r="R315" s="57">
        <v>100740</v>
      </c>
      <c r="S315" s="57">
        <v>352589.83</v>
      </c>
      <c r="T315" s="106">
        <f>IF(A315="Upgrade",IF(OR(H315=4,H315=5),_xlfn.XLOOKUP(I315,'Renewal Rates'!$A$22:$A$27,'Renewal Rates'!$B$22:$B$27,'Renewal Rates'!$B$27,0),'Renewal Rates'!$F$7),IF(A315="Renewal",100%,0%))</f>
        <v>0.21</v>
      </c>
      <c r="U315" s="68">
        <f t="shared" si="4"/>
        <v>74043.864300000001</v>
      </c>
      <c r="V315" s="68"/>
    </row>
    <row r="316" spans="1:22" x14ac:dyDescent="0.3">
      <c r="A316" s="41" t="s">
        <v>21</v>
      </c>
      <c r="B316" s="51">
        <v>2.0089999999999999</v>
      </c>
      <c r="C316" s="58">
        <v>2000227010</v>
      </c>
      <c r="D316" s="86">
        <v>61.31</v>
      </c>
      <c r="E316" s="86"/>
      <c r="F316" s="52">
        <v>225</v>
      </c>
      <c r="G316" s="53">
        <v>975</v>
      </c>
      <c r="H316" s="52" t="s">
        <v>122</v>
      </c>
      <c r="I316" s="45" t="s">
        <v>122</v>
      </c>
      <c r="J316" s="41">
        <v>376</v>
      </c>
      <c r="K316" s="54" t="s">
        <v>23</v>
      </c>
      <c r="L316" s="54" t="s">
        <v>24</v>
      </c>
      <c r="M316" s="57">
        <v>400947</v>
      </c>
      <c r="N316" s="57">
        <v>6539</v>
      </c>
      <c r="O316" s="57">
        <v>136322</v>
      </c>
      <c r="P316" s="57">
        <v>537268</v>
      </c>
      <c r="Q316" s="77">
        <v>0.4</v>
      </c>
      <c r="R316" s="57">
        <v>214907</v>
      </c>
      <c r="S316" s="57">
        <v>752175.78</v>
      </c>
      <c r="T316" s="106">
        <f>IF(A316="Upgrade",IF(OR(H316=4,H316=5),_xlfn.XLOOKUP(I316,'Renewal Rates'!$A$22:$A$27,'Renewal Rates'!$B$22:$B$27,'Renewal Rates'!$B$27,0),'Renewal Rates'!$F$7),IF(A316="Renewal",100%,0%))</f>
        <v>2.6599999999999999E-2</v>
      </c>
      <c r="U316" s="68">
        <f t="shared" si="4"/>
        <v>20007.875747999999</v>
      </c>
      <c r="V316" s="68"/>
    </row>
    <row r="317" spans="1:22" x14ac:dyDescent="0.3">
      <c r="A317" s="41" t="s">
        <v>21</v>
      </c>
      <c r="B317" s="51">
        <v>1.0089999999999999</v>
      </c>
      <c r="C317" s="58">
        <v>3000092542</v>
      </c>
      <c r="D317" s="86">
        <v>12.549357000000001</v>
      </c>
      <c r="E317" s="86"/>
      <c r="F317" s="52">
        <v>450</v>
      </c>
      <c r="G317" s="53">
        <v>750</v>
      </c>
      <c r="H317" s="52" t="s">
        <v>122</v>
      </c>
      <c r="I317" s="45" t="s">
        <v>122</v>
      </c>
      <c r="J317" s="41">
        <v>376</v>
      </c>
      <c r="K317" s="54" t="s">
        <v>23</v>
      </c>
      <c r="L317" s="54" t="s">
        <v>24</v>
      </c>
      <c r="M317" s="57">
        <v>86048</v>
      </c>
      <c r="N317" s="57">
        <v>6857</v>
      </c>
      <c r="O317" s="57">
        <v>29256</v>
      </c>
      <c r="P317" s="57">
        <v>115304</v>
      </c>
      <c r="Q317" s="77">
        <v>0.4</v>
      </c>
      <c r="R317" s="57">
        <v>46122</v>
      </c>
      <c r="S317" s="57">
        <v>161425.65</v>
      </c>
      <c r="T317" s="106">
        <f>IF(A317="Upgrade",IF(OR(H317=4,H317=5),_xlfn.XLOOKUP(I317,'Renewal Rates'!$A$22:$A$27,'Renewal Rates'!$B$22:$B$27,'Renewal Rates'!$B$27,0),'Renewal Rates'!$F$7),IF(A317="Renewal",100%,0%))</f>
        <v>2.6599999999999999E-2</v>
      </c>
      <c r="U317" s="68">
        <f t="shared" si="4"/>
        <v>4293.9222899999995</v>
      </c>
      <c r="V317" s="68"/>
    </row>
    <row r="318" spans="1:22" x14ac:dyDescent="0.3">
      <c r="A318" s="41" t="s">
        <v>21</v>
      </c>
      <c r="B318" s="51">
        <v>4.0359999999999996</v>
      </c>
      <c r="C318" s="58">
        <v>2000600821</v>
      </c>
      <c r="D318" s="86">
        <v>76.790000000000006</v>
      </c>
      <c r="E318" s="86"/>
      <c r="F318" s="52">
        <v>450</v>
      </c>
      <c r="G318" s="53">
        <v>675</v>
      </c>
      <c r="H318" s="52" t="s">
        <v>122</v>
      </c>
      <c r="I318" s="45" t="s">
        <v>122</v>
      </c>
      <c r="J318" s="41">
        <v>374</v>
      </c>
      <c r="K318" s="54" t="s">
        <v>23</v>
      </c>
      <c r="L318" s="54" t="s">
        <v>24</v>
      </c>
      <c r="M318" s="57">
        <v>302914</v>
      </c>
      <c r="N318" s="57">
        <v>3945</v>
      </c>
      <c r="O318" s="57">
        <v>102991</v>
      </c>
      <c r="P318" s="57">
        <v>405905</v>
      </c>
      <c r="Q318" s="77">
        <v>0.4</v>
      </c>
      <c r="R318" s="57">
        <v>162362</v>
      </c>
      <c r="S318" s="57">
        <v>568266.32069199998</v>
      </c>
      <c r="T318" s="106">
        <f>IF(A318="Upgrade",IF(OR(H318=4,H318=5),_xlfn.XLOOKUP(I318,'Renewal Rates'!$A$22:$A$27,'Renewal Rates'!$B$22:$B$27,'Renewal Rates'!$B$27,0),'Renewal Rates'!$F$7),IF(A318="Renewal",100%,0%))</f>
        <v>2.6599999999999999E-2</v>
      </c>
      <c r="U318" s="68">
        <f t="shared" si="4"/>
        <v>15115.884130407199</v>
      </c>
      <c r="V318" s="68"/>
    </row>
    <row r="319" spans="1:22" x14ac:dyDescent="0.3">
      <c r="A319" s="41" t="s">
        <v>21</v>
      </c>
      <c r="B319" s="51">
        <v>1.012</v>
      </c>
      <c r="C319" s="58">
        <v>2000089531</v>
      </c>
      <c r="D319" s="86">
        <v>5.44</v>
      </c>
      <c r="E319" s="86"/>
      <c r="F319" s="52">
        <v>225</v>
      </c>
      <c r="G319" s="53">
        <v>525</v>
      </c>
      <c r="H319" s="52" t="s">
        <v>122</v>
      </c>
      <c r="I319" s="45" t="s">
        <v>122</v>
      </c>
      <c r="J319" s="41">
        <v>368</v>
      </c>
      <c r="K319" s="54" t="s">
        <v>23</v>
      </c>
      <c r="L319" s="54" t="s">
        <v>24</v>
      </c>
      <c r="M319" s="57">
        <v>48675</v>
      </c>
      <c r="N319" s="57">
        <v>8947</v>
      </c>
      <c r="O319" s="57">
        <v>16550</v>
      </c>
      <c r="P319" s="57">
        <v>65225</v>
      </c>
      <c r="Q319" s="77">
        <v>0.4</v>
      </c>
      <c r="R319" s="57">
        <v>26090</v>
      </c>
      <c r="S319" s="57">
        <v>91314.63</v>
      </c>
      <c r="T319" s="106">
        <f>IF(A319="Upgrade",IF(OR(H319=4,H319=5),_xlfn.XLOOKUP(I319,'Renewal Rates'!$A$22:$A$27,'Renewal Rates'!$B$22:$B$27,'Renewal Rates'!$B$27,0),'Renewal Rates'!$F$7),IF(A319="Renewal",100%,0%))</f>
        <v>2.6599999999999999E-2</v>
      </c>
      <c r="U319" s="68">
        <f t="shared" si="4"/>
        <v>2428.9691579999999</v>
      </c>
      <c r="V319" s="68"/>
    </row>
    <row r="320" spans="1:22" x14ac:dyDescent="0.3">
      <c r="A320" s="41" t="s">
        <v>21</v>
      </c>
      <c r="B320" s="51">
        <v>4.0330000000000004</v>
      </c>
      <c r="C320" s="58">
        <v>2000274409</v>
      </c>
      <c r="D320" s="86">
        <v>30.44</v>
      </c>
      <c r="E320" s="86"/>
      <c r="F320" s="52">
        <v>450</v>
      </c>
      <c r="G320" s="53">
        <v>600</v>
      </c>
      <c r="H320" s="52" t="s">
        <v>122</v>
      </c>
      <c r="I320" s="45" t="s">
        <v>122</v>
      </c>
      <c r="J320" s="41">
        <v>374</v>
      </c>
      <c r="K320" s="54" t="s">
        <v>23</v>
      </c>
      <c r="L320" s="54" t="s">
        <v>24</v>
      </c>
      <c r="M320" s="57">
        <v>130200</v>
      </c>
      <c r="N320" s="57">
        <v>4277</v>
      </c>
      <c r="O320" s="57">
        <v>44268</v>
      </c>
      <c r="P320" s="57">
        <v>174468</v>
      </c>
      <c r="Q320" s="77">
        <v>0.4</v>
      </c>
      <c r="R320" s="57">
        <v>69787</v>
      </c>
      <c r="S320" s="57">
        <v>244254.76851999998</v>
      </c>
      <c r="T320" s="106">
        <f>IF(A320="Upgrade",IF(OR(H320=4,H320=5),_xlfn.XLOOKUP(I320,'Renewal Rates'!$A$22:$A$27,'Renewal Rates'!$B$22:$B$27,'Renewal Rates'!$B$27,0),'Renewal Rates'!$F$7),IF(A320="Renewal",100%,0%))</f>
        <v>2.6599999999999999E-2</v>
      </c>
      <c r="U320" s="68">
        <f t="shared" si="4"/>
        <v>6497.1768426319995</v>
      </c>
      <c r="V320" s="68"/>
    </row>
    <row r="321" spans="1:22" x14ac:dyDescent="0.3">
      <c r="A321" s="41" t="s">
        <v>21</v>
      </c>
      <c r="B321" s="51">
        <v>17.035</v>
      </c>
      <c r="C321" s="58">
        <v>2000183940</v>
      </c>
      <c r="D321" s="86">
        <v>113.386324</v>
      </c>
      <c r="E321" s="86"/>
      <c r="F321" s="52">
        <v>1800</v>
      </c>
      <c r="G321" s="53">
        <v>2400</v>
      </c>
      <c r="H321" s="52">
        <v>5</v>
      </c>
      <c r="I321" s="45">
        <v>3</v>
      </c>
      <c r="J321" s="41">
        <v>376</v>
      </c>
      <c r="K321" s="54" t="s">
        <v>23</v>
      </c>
      <c r="L321" s="54" t="s">
        <v>24</v>
      </c>
      <c r="M321" s="57">
        <v>1634996</v>
      </c>
      <c r="N321" s="57">
        <v>14985</v>
      </c>
      <c r="O321" s="57">
        <v>555899</v>
      </c>
      <c r="P321" s="57">
        <v>2190894</v>
      </c>
      <c r="Q321" s="77">
        <v>0.4</v>
      </c>
      <c r="R321" s="57">
        <v>876358</v>
      </c>
      <c r="S321" s="57">
        <v>3067252.13</v>
      </c>
      <c r="T321" s="106">
        <f>IF(A321="Upgrade",IF(OR(H321=4,H321=5),_xlfn.XLOOKUP(I321,'Renewal Rates'!$A$22:$A$27,'Renewal Rates'!$B$22:$B$27,'Renewal Rates'!$B$27,0),'Renewal Rates'!$F$7),IF(A321="Renewal",100%,0%))</f>
        <v>0.21</v>
      </c>
      <c r="U321" s="68">
        <f t="shared" si="4"/>
        <v>644122.9473</v>
      </c>
      <c r="V321" s="68"/>
    </row>
    <row r="322" spans="1:22" x14ac:dyDescent="0.3">
      <c r="A322" s="41" t="s">
        <v>21</v>
      </c>
      <c r="B322" s="51">
        <v>10.02</v>
      </c>
      <c r="C322" s="58">
        <v>2000518317</v>
      </c>
      <c r="D322" s="86">
        <v>81.2</v>
      </c>
      <c r="E322" s="86"/>
      <c r="F322" s="52">
        <v>375</v>
      </c>
      <c r="G322" s="53">
        <v>675</v>
      </c>
      <c r="H322" s="52">
        <v>4</v>
      </c>
      <c r="I322" s="45">
        <v>3</v>
      </c>
      <c r="J322" s="41">
        <v>377</v>
      </c>
      <c r="K322" s="54" t="s">
        <v>23</v>
      </c>
      <c r="L322" s="54" t="s">
        <v>24</v>
      </c>
      <c r="M322" s="57">
        <v>308183</v>
      </c>
      <c r="N322" s="57">
        <v>3796</v>
      </c>
      <c r="O322" s="57">
        <v>104782</v>
      </c>
      <c r="P322" s="57">
        <v>412965</v>
      </c>
      <c r="Q322" s="77">
        <v>0.4</v>
      </c>
      <c r="R322" s="57">
        <v>165186</v>
      </c>
      <c r="S322" s="57">
        <v>578150.38</v>
      </c>
      <c r="T322" s="106">
        <f>IF(A322="Upgrade",IF(OR(H322=4,H322=5),_xlfn.XLOOKUP(I322,'Renewal Rates'!$A$22:$A$27,'Renewal Rates'!$B$22:$B$27,'Renewal Rates'!$B$27,0),'Renewal Rates'!$F$7),IF(A322="Renewal",100%,0%))</f>
        <v>0.21</v>
      </c>
      <c r="U322" s="68">
        <f t="shared" si="4"/>
        <v>121411.57979999999</v>
      </c>
      <c r="V322" s="68"/>
    </row>
    <row r="323" spans="1:22" x14ac:dyDescent="0.3">
      <c r="A323" s="41" t="s">
        <v>21</v>
      </c>
      <c r="B323" s="51">
        <v>10.015000000000001</v>
      </c>
      <c r="C323" s="58">
        <v>2000185458</v>
      </c>
      <c r="D323" s="86">
        <v>44.63</v>
      </c>
      <c r="E323" s="86"/>
      <c r="F323" s="52">
        <v>300</v>
      </c>
      <c r="G323" s="53">
        <v>600</v>
      </c>
      <c r="H323" s="52" t="s">
        <v>122</v>
      </c>
      <c r="I323" s="45" t="s">
        <v>122</v>
      </c>
      <c r="J323" s="41">
        <v>377</v>
      </c>
      <c r="K323" s="54" t="s">
        <v>23</v>
      </c>
      <c r="L323" s="54" t="s">
        <v>24</v>
      </c>
      <c r="M323" s="57">
        <v>147950</v>
      </c>
      <c r="N323" s="57">
        <v>3314</v>
      </c>
      <c r="O323" s="57">
        <v>50303</v>
      </c>
      <c r="P323" s="57">
        <v>198253</v>
      </c>
      <c r="Q323" s="77">
        <v>0.4</v>
      </c>
      <c r="R323" s="57">
        <v>79301</v>
      </c>
      <c r="S323" s="57">
        <v>277554.15999999997</v>
      </c>
      <c r="T323" s="106">
        <f>IF(A323="Upgrade",IF(OR(H323=4,H323=5),_xlfn.XLOOKUP(I323,'Renewal Rates'!$A$22:$A$27,'Renewal Rates'!$B$22:$B$27,'Renewal Rates'!$B$27,0),'Renewal Rates'!$F$7),IF(A323="Renewal",100%,0%))</f>
        <v>2.6599999999999999E-2</v>
      </c>
      <c r="U323" s="68">
        <f t="shared" si="4"/>
        <v>7382.9406559999989</v>
      </c>
      <c r="V323" s="68"/>
    </row>
    <row r="324" spans="1:22" x14ac:dyDescent="0.3">
      <c r="A324" s="41" t="s">
        <v>21</v>
      </c>
      <c r="B324" s="51">
        <v>8.0169999999999995</v>
      </c>
      <c r="C324" s="58">
        <v>3000019648</v>
      </c>
      <c r="D324" s="86">
        <v>6.5427150000000003</v>
      </c>
      <c r="E324" s="86"/>
      <c r="F324" s="52">
        <v>300</v>
      </c>
      <c r="G324" s="53">
        <v>450</v>
      </c>
      <c r="H324" s="52" t="s">
        <v>122</v>
      </c>
      <c r="I324" s="45" t="s">
        <v>122</v>
      </c>
      <c r="J324" s="41">
        <v>368</v>
      </c>
      <c r="K324" s="54" t="s">
        <v>23</v>
      </c>
      <c r="L324" s="54" t="s">
        <v>24</v>
      </c>
      <c r="M324" s="57">
        <v>49055</v>
      </c>
      <c r="N324" s="57">
        <v>7498</v>
      </c>
      <c r="O324" s="57">
        <v>16679</v>
      </c>
      <c r="P324" s="57">
        <v>65734</v>
      </c>
      <c r="Q324" s="77">
        <v>0.4</v>
      </c>
      <c r="R324" s="57">
        <v>26294</v>
      </c>
      <c r="S324" s="57">
        <v>92027.51</v>
      </c>
      <c r="T324" s="106">
        <f>IF(A324="Upgrade",IF(OR(H324=4,H324=5),_xlfn.XLOOKUP(I324,'Renewal Rates'!$A$22:$A$27,'Renewal Rates'!$B$22:$B$27,'Renewal Rates'!$B$27,0),'Renewal Rates'!$F$7),IF(A324="Renewal",100%,0%))</f>
        <v>2.6599999999999999E-2</v>
      </c>
      <c r="U324" s="68">
        <f t="shared" ref="U324:U387" si="5">S324*T324</f>
        <v>2447.9317659999997</v>
      </c>
      <c r="V324" s="68"/>
    </row>
    <row r="325" spans="1:22" x14ac:dyDescent="0.3">
      <c r="A325" s="41" t="s">
        <v>21</v>
      </c>
      <c r="B325" s="51">
        <v>13.013</v>
      </c>
      <c r="C325" s="58">
        <v>2000904152</v>
      </c>
      <c r="D325" s="86">
        <v>41.54</v>
      </c>
      <c r="E325" s="86"/>
      <c r="F325" s="52">
        <v>375</v>
      </c>
      <c r="G325" s="53">
        <v>750</v>
      </c>
      <c r="H325" s="52">
        <v>4</v>
      </c>
      <c r="I325" s="45">
        <v>4</v>
      </c>
      <c r="J325" s="41">
        <v>377</v>
      </c>
      <c r="K325" s="54" t="s">
        <v>23</v>
      </c>
      <c r="L325" s="54" t="s">
        <v>24</v>
      </c>
      <c r="M325" s="57">
        <v>161592</v>
      </c>
      <c r="N325" s="57">
        <v>3890</v>
      </c>
      <c r="O325" s="57">
        <v>70441</v>
      </c>
      <c r="P325" s="57">
        <v>277621</v>
      </c>
      <c r="Q325" s="77">
        <v>0.4</v>
      </c>
      <c r="R325" s="57">
        <v>111049</v>
      </c>
      <c r="S325" s="57">
        <v>388669.98147320008</v>
      </c>
      <c r="T325" s="106">
        <f>IF(A325="Upgrade",IF(OR(H325=4,H325=5),_xlfn.XLOOKUP(I325,'Renewal Rates'!$A$22:$A$27,'Renewal Rates'!$B$22:$B$27,'Renewal Rates'!$B$27,0),'Renewal Rates'!$F$7),IF(A325="Renewal",100%,0%))</f>
        <v>0.7</v>
      </c>
      <c r="U325" s="68">
        <f t="shared" si="5"/>
        <v>272068.98703124002</v>
      </c>
      <c r="V325" s="68"/>
    </row>
    <row r="326" spans="1:22" x14ac:dyDescent="0.3">
      <c r="A326" s="41" t="s">
        <v>21</v>
      </c>
      <c r="B326" s="51" t="s">
        <v>46</v>
      </c>
      <c r="C326" s="58">
        <v>2000772131</v>
      </c>
      <c r="D326" s="86">
        <v>16.989999999999998</v>
      </c>
      <c r="E326" s="86"/>
      <c r="F326" s="52">
        <v>375</v>
      </c>
      <c r="G326" s="53">
        <v>525</v>
      </c>
      <c r="H326" s="52" t="s">
        <v>122</v>
      </c>
      <c r="I326" s="45" t="s">
        <v>122</v>
      </c>
      <c r="J326" s="41">
        <v>376</v>
      </c>
      <c r="K326" s="54" t="s">
        <v>23</v>
      </c>
      <c r="L326" s="54" t="s">
        <v>24</v>
      </c>
      <c r="M326" s="57">
        <v>94575</v>
      </c>
      <c r="N326" s="57">
        <v>5566</v>
      </c>
      <c r="O326" s="57">
        <v>32156</v>
      </c>
      <c r="P326" s="57">
        <v>126731</v>
      </c>
      <c r="Q326" s="77">
        <v>0.4</v>
      </c>
      <c r="R326" s="57">
        <v>50692</v>
      </c>
      <c r="S326" s="57">
        <v>177422.97</v>
      </c>
      <c r="T326" s="106">
        <f>IF(A326="Upgrade",IF(OR(H326=4,H326=5),_xlfn.XLOOKUP(I326,'Renewal Rates'!$A$22:$A$27,'Renewal Rates'!$B$22:$B$27,'Renewal Rates'!$B$27,0),'Renewal Rates'!$F$7),IF(A326="Renewal",100%,0%))</f>
        <v>2.6599999999999999E-2</v>
      </c>
      <c r="U326" s="68">
        <f t="shared" si="5"/>
        <v>4719.4510019999998</v>
      </c>
      <c r="V326" s="68"/>
    </row>
    <row r="327" spans="1:22" x14ac:dyDescent="0.3">
      <c r="A327" s="41" t="s">
        <v>21</v>
      </c>
      <c r="B327" s="51">
        <v>0</v>
      </c>
      <c r="C327" s="58">
        <v>2000797358</v>
      </c>
      <c r="D327" s="86">
        <v>38.5</v>
      </c>
      <c r="E327" s="86"/>
      <c r="F327" s="52">
        <v>300</v>
      </c>
      <c r="G327" s="53">
        <v>525</v>
      </c>
      <c r="H327" s="52" t="s">
        <v>122</v>
      </c>
      <c r="I327" s="45" t="s">
        <v>122</v>
      </c>
      <c r="J327" s="41">
        <v>376</v>
      </c>
      <c r="K327" s="54" t="s">
        <v>23</v>
      </c>
      <c r="L327" s="54" t="s">
        <v>24</v>
      </c>
      <c r="M327" s="57">
        <v>116406.0993</v>
      </c>
      <c r="N327" s="57">
        <v>3023.8847000000001</v>
      </c>
      <c r="O327" s="57">
        <v>39578.073762</v>
      </c>
      <c r="P327" s="57">
        <v>155984.17306200002</v>
      </c>
      <c r="Q327" s="77">
        <v>0.4</v>
      </c>
      <c r="R327" s="57">
        <v>62393.669224800011</v>
      </c>
      <c r="S327" s="57">
        <v>218377.84228680003</v>
      </c>
      <c r="T327" s="106">
        <f>IF(A327="Upgrade",IF(OR(H327=4,H327=5),_xlfn.XLOOKUP(I327,'Renewal Rates'!$A$22:$A$27,'Renewal Rates'!$B$22:$B$27,'Renewal Rates'!$B$27,0),'Renewal Rates'!$F$7),IF(A327="Renewal",100%,0%))</f>
        <v>2.6599999999999999E-2</v>
      </c>
      <c r="U327" s="68">
        <f t="shared" si="5"/>
        <v>5808.8506048288809</v>
      </c>
      <c r="V327" s="68"/>
    </row>
    <row r="328" spans="1:22" x14ac:dyDescent="0.3">
      <c r="A328" s="41" t="s">
        <v>21</v>
      </c>
      <c r="B328" s="51">
        <v>17.035</v>
      </c>
      <c r="C328" s="58">
        <v>2000942073</v>
      </c>
      <c r="D328" s="86">
        <v>3.542754</v>
      </c>
      <c r="E328" s="86"/>
      <c r="F328" s="52">
        <v>1800</v>
      </c>
      <c r="G328" s="53">
        <v>2400</v>
      </c>
      <c r="H328" s="52">
        <v>4</v>
      </c>
      <c r="I328" s="45"/>
      <c r="J328" s="41">
        <v>376</v>
      </c>
      <c r="K328" s="54" t="s">
        <v>23</v>
      </c>
      <c r="L328" s="54" t="s">
        <v>24</v>
      </c>
      <c r="M328" s="57">
        <v>60264</v>
      </c>
      <c r="N328" s="57">
        <v>17010</v>
      </c>
      <c r="O328" s="57">
        <v>20490</v>
      </c>
      <c r="P328" s="57">
        <v>80753</v>
      </c>
      <c r="Q328" s="77">
        <v>0.4</v>
      </c>
      <c r="R328" s="57">
        <v>32301</v>
      </c>
      <c r="S328" s="57">
        <v>113054.85</v>
      </c>
      <c r="T328" s="106">
        <f>IF(A328="Upgrade",IF(OR(H328=4,H328=5),_xlfn.XLOOKUP(I328,'Renewal Rates'!$A$22:$A$27,'Renewal Rates'!$B$22:$B$27,'Renewal Rates'!$B$27,0),'Renewal Rates'!$F$7),IF(A328="Renewal",100%,0%))</f>
        <v>0.116578</v>
      </c>
      <c r="U328" s="68">
        <f t="shared" si="5"/>
        <v>13179.7083033</v>
      </c>
      <c r="V328" s="68"/>
    </row>
    <row r="329" spans="1:22" x14ac:dyDescent="0.3">
      <c r="A329" s="41" t="s">
        <v>21</v>
      </c>
      <c r="B329" s="51">
        <v>13.019</v>
      </c>
      <c r="C329" s="58">
        <v>2000123703</v>
      </c>
      <c r="D329" s="86">
        <v>19.62</v>
      </c>
      <c r="E329" s="86"/>
      <c r="F329" s="52">
        <v>225</v>
      </c>
      <c r="G329" s="53">
        <v>375</v>
      </c>
      <c r="H329" s="52" t="s">
        <v>122</v>
      </c>
      <c r="I329" s="45" t="s">
        <v>122</v>
      </c>
      <c r="J329" s="41">
        <v>377</v>
      </c>
      <c r="K329" s="54" t="s">
        <v>23</v>
      </c>
      <c r="L329" s="54" t="s">
        <v>24</v>
      </c>
      <c r="M329" s="57">
        <v>62984</v>
      </c>
      <c r="N329" s="57">
        <v>3210</v>
      </c>
      <c r="O329" s="57">
        <v>22283</v>
      </c>
      <c r="P329" s="57">
        <v>87820</v>
      </c>
      <c r="Q329" s="77">
        <v>0.4</v>
      </c>
      <c r="R329" s="57">
        <v>35128</v>
      </c>
      <c r="S329" s="57">
        <v>122948.1391376</v>
      </c>
      <c r="T329" s="106">
        <f>IF(A329="Upgrade",IF(OR(H329=4,H329=5),_xlfn.XLOOKUP(I329,'Renewal Rates'!$A$22:$A$27,'Renewal Rates'!$B$22:$B$27,'Renewal Rates'!$B$27,0),'Renewal Rates'!$F$7),IF(A329="Renewal",100%,0%))</f>
        <v>2.6599999999999999E-2</v>
      </c>
      <c r="U329" s="68">
        <f t="shared" si="5"/>
        <v>3270.4205010601595</v>
      </c>
      <c r="V329" s="68"/>
    </row>
    <row r="330" spans="1:22" x14ac:dyDescent="0.3">
      <c r="A330" s="41" t="s">
        <v>21</v>
      </c>
      <c r="B330" s="51">
        <v>17.03</v>
      </c>
      <c r="C330" s="58">
        <v>2000921513</v>
      </c>
      <c r="D330" s="86">
        <v>29.42</v>
      </c>
      <c r="E330" s="86"/>
      <c r="F330" s="52">
        <v>450</v>
      </c>
      <c r="G330" s="53">
        <v>675</v>
      </c>
      <c r="H330" s="52">
        <v>4</v>
      </c>
      <c r="I330" s="45">
        <v>3</v>
      </c>
      <c r="J330" s="41">
        <v>376</v>
      </c>
      <c r="K330" s="54" t="s">
        <v>23</v>
      </c>
      <c r="L330" s="54" t="s">
        <v>24</v>
      </c>
      <c r="M330" s="57">
        <v>124088</v>
      </c>
      <c r="N330" s="57">
        <v>4218</v>
      </c>
      <c r="O330" s="57">
        <v>42190</v>
      </c>
      <c r="P330" s="57">
        <v>166278</v>
      </c>
      <c r="Q330" s="77">
        <v>0.4</v>
      </c>
      <c r="R330" s="57">
        <v>66511</v>
      </c>
      <c r="S330" s="57">
        <v>232788.77</v>
      </c>
      <c r="T330" s="106">
        <f>IF(A330="Upgrade",IF(OR(H330=4,H330=5),_xlfn.XLOOKUP(I330,'Renewal Rates'!$A$22:$A$27,'Renewal Rates'!$B$22:$B$27,'Renewal Rates'!$B$27,0),'Renewal Rates'!$F$7),IF(A330="Renewal",100%,0%))</f>
        <v>0.21</v>
      </c>
      <c r="U330" s="68">
        <f t="shared" si="5"/>
        <v>48885.641699999993</v>
      </c>
      <c r="V330" s="68"/>
    </row>
    <row r="331" spans="1:22" x14ac:dyDescent="0.3">
      <c r="A331" s="41" t="s">
        <v>21</v>
      </c>
      <c r="B331" s="51">
        <v>8.016</v>
      </c>
      <c r="C331" s="58">
        <v>2000822636</v>
      </c>
      <c r="D331" s="86">
        <v>26.84</v>
      </c>
      <c r="E331" s="86"/>
      <c r="F331" s="52">
        <v>300</v>
      </c>
      <c r="G331" s="53">
        <v>675</v>
      </c>
      <c r="H331" s="52" t="s">
        <v>122</v>
      </c>
      <c r="I331" s="45" t="s">
        <v>122</v>
      </c>
      <c r="J331" s="41">
        <v>368</v>
      </c>
      <c r="K331" s="54" t="s">
        <v>23</v>
      </c>
      <c r="L331" s="54" t="s">
        <v>24</v>
      </c>
      <c r="M331" s="57">
        <v>120996</v>
      </c>
      <c r="N331" s="57">
        <v>4509</v>
      </c>
      <c r="O331" s="57">
        <v>41139</v>
      </c>
      <c r="P331" s="57">
        <v>162134</v>
      </c>
      <c r="Q331" s="77">
        <v>0.4</v>
      </c>
      <c r="R331" s="57">
        <v>64854</v>
      </c>
      <c r="S331" s="57">
        <v>226988.21</v>
      </c>
      <c r="T331" s="106">
        <f>IF(A331="Upgrade",IF(OR(H331=4,H331=5),_xlfn.XLOOKUP(I331,'Renewal Rates'!$A$22:$A$27,'Renewal Rates'!$B$22:$B$27,'Renewal Rates'!$B$27,0),'Renewal Rates'!$F$7),IF(A331="Renewal",100%,0%))</f>
        <v>2.6599999999999999E-2</v>
      </c>
      <c r="U331" s="68">
        <f t="shared" si="5"/>
        <v>6037.8863859999992</v>
      </c>
      <c r="V331" s="68"/>
    </row>
    <row r="332" spans="1:22" x14ac:dyDescent="0.3">
      <c r="A332" s="41" t="s">
        <v>21</v>
      </c>
      <c r="B332" s="51">
        <v>4.0339999999999998</v>
      </c>
      <c r="C332" s="58">
        <v>2000110869</v>
      </c>
      <c r="D332" s="86">
        <v>39.29</v>
      </c>
      <c r="E332" s="86"/>
      <c r="F332" s="52">
        <v>300</v>
      </c>
      <c r="G332" s="53">
        <v>600</v>
      </c>
      <c r="H332" s="52" t="s">
        <v>122</v>
      </c>
      <c r="I332" s="45" t="s">
        <v>122</v>
      </c>
      <c r="J332" s="41">
        <v>374</v>
      </c>
      <c r="K332" s="54" t="s">
        <v>23</v>
      </c>
      <c r="L332" s="54" t="s">
        <v>24</v>
      </c>
      <c r="M332" s="57">
        <v>142408</v>
      </c>
      <c r="N332" s="57">
        <v>3624</v>
      </c>
      <c r="O332" s="57">
        <v>48419</v>
      </c>
      <c r="P332" s="57">
        <v>190826</v>
      </c>
      <c r="Q332" s="77">
        <v>0.4</v>
      </c>
      <c r="R332" s="57">
        <v>76331</v>
      </c>
      <c r="S332" s="57">
        <v>267156.99434200005</v>
      </c>
      <c r="T332" s="106">
        <f>IF(A332="Upgrade",IF(OR(H332=4,H332=5),_xlfn.XLOOKUP(I332,'Renewal Rates'!$A$22:$A$27,'Renewal Rates'!$B$22:$B$27,'Renewal Rates'!$B$27,0),'Renewal Rates'!$F$7),IF(A332="Renewal",100%,0%))</f>
        <v>2.6599999999999999E-2</v>
      </c>
      <c r="U332" s="68">
        <f t="shared" si="5"/>
        <v>7106.3760494972012</v>
      </c>
      <c r="V332" s="68"/>
    </row>
    <row r="333" spans="1:22" x14ac:dyDescent="0.3">
      <c r="A333" s="41" t="s">
        <v>21</v>
      </c>
      <c r="B333" s="51">
        <v>8.02</v>
      </c>
      <c r="C333" s="58">
        <v>2000428279</v>
      </c>
      <c r="D333" s="86">
        <v>34.340000000000003</v>
      </c>
      <c r="E333" s="86"/>
      <c r="F333" s="52">
        <v>600</v>
      </c>
      <c r="G333" s="53">
        <v>975</v>
      </c>
      <c r="H333" s="52">
        <v>4</v>
      </c>
      <c r="I333" s="45">
        <v>3</v>
      </c>
      <c r="J333" s="41">
        <v>368</v>
      </c>
      <c r="K333" s="54" t="s">
        <v>23</v>
      </c>
      <c r="L333" s="54" t="s">
        <v>24</v>
      </c>
      <c r="M333" s="57">
        <v>221456</v>
      </c>
      <c r="N333" s="57">
        <v>6449</v>
      </c>
      <c r="O333" s="57">
        <v>75295</v>
      </c>
      <c r="P333" s="57">
        <v>296751</v>
      </c>
      <c r="Q333" s="77">
        <v>0.4</v>
      </c>
      <c r="R333" s="57">
        <v>118700</v>
      </c>
      <c r="S333" s="57">
        <v>415451.3</v>
      </c>
      <c r="T333" s="106">
        <f>IF(A333="Upgrade",IF(OR(H333=4,H333=5),_xlfn.XLOOKUP(I333,'Renewal Rates'!$A$22:$A$27,'Renewal Rates'!$B$22:$B$27,'Renewal Rates'!$B$27,0),'Renewal Rates'!$F$7),IF(A333="Renewal",100%,0%))</f>
        <v>0.21</v>
      </c>
      <c r="U333" s="68">
        <f t="shared" si="5"/>
        <v>87244.773000000001</v>
      </c>
      <c r="V333" s="68"/>
    </row>
    <row r="334" spans="1:22" x14ac:dyDescent="0.3">
      <c r="A334" s="41" t="s">
        <v>21</v>
      </c>
      <c r="B334" s="51">
        <v>17.016999999999999</v>
      </c>
      <c r="C334" s="58">
        <v>2000589489</v>
      </c>
      <c r="D334" s="86">
        <v>12.47</v>
      </c>
      <c r="E334" s="86"/>
      <c r="F334" s="52">
        <v>225</v>
      </c>
      <c r="G334" s="53">
        <v>750</v>
      </c>
      <c r="H334" s="52" t="s">
        <v>122</v>
      </c>
      <c r="I334" s="45" t="s">
        <v>122</v>
      </c>
      <c r="J334" s="41">
        <v>376</v>
      </c>
      <c r="K334" s="54" t="s">
        <v>23</v>
      </c>
      <c r="L334" s="54" t="s">
        <v>24</v>
      </c>
      <c r="M334" s="57">
        <v>85934</v>
      </c>
      <c r="N334" s="57">
        <v>6894</v>
      </c>
      <c r="O334" s="57">
        <v>29218</v>
      </c>
      <c r="P334" s="57">
        <v>115152</v>
      </c>
      <c r="Q334" s="77">
        <v>0.4</v>
      </c>
      <c r="R334" s="57">
        <v>46061</v>
      </c>
      <c r="S334" s="57">
        <v>161212.95000000001</v>
      </c>
      <c r="T334" s="106">
        <f>IF(A334="Upgrade",IF(OR(H334=4,H334=5),_xlfn.XLOOKUP(I334,'Renewal Rates'!$A$22:$A$27,'Renewal Rates'!$B$22:$B$27,'Renewal Rates'!$B$27,0),'Renewal Rates'!$F$7),IF(A334="Renewal",100%,0%))</f>
        <v>2.6599999999999999E-2</v>
      </c>
      <c r="U334" s="68">
        <f t="shared" si="5"/>
        <v>4288.2644700000001</v>
      </c>
      <c r="V334" s="68"/>
    </row>
    <row r="335" spans="1:22" x14ac:dyDescent="0.3">
      <c r="A335" s="41" t="s">
        <v>21</v>
      </c>
      <c r="B335" s="51">
        <v>4.0069999999999997</v>
      </c>
      <c r="C335" s="58">
        <v>2000198616</v>
      </c>
      <c r="D335" s="86">
        <v>24.94</v>
      </c>
      <c r="E335" s="86"/>
      <c r="F335" s="52">
        <v>225</v>
      </c>
      <c r="G335" s="53">
        <v>750</v>
      </c>
      <c r="H335" s="52" t="s">
        <v>122</v>
      </c>
      <c r="I335" s="45" t="s">
        <v>122</v>
      </c>
      <c r="J335" s="41">
        <v>374</v>
      </c>
      <c r="K335" s="54" t="s">
        <v>23</v>
      </c>
      <c r="L335" s="54" t="s">
        <v>24</v>
      </c>
      <c r="M335" s="57">
        <v>122334</v>
      </c>
      <c r="N335" s="57">
        <v>4905</v>
      </c>
      <c r="O335" s="57">
        <v>41594</v>
      </c>
      <c r="P335" s="57">
        <v>163928</v>
      </c>
      <c r="Q335" s="77">
        <v>0.4</v>
      </c>
      <c r="R335" s="57">
        <v>65571</v>
      </c>
      <c r="S335" s="57">
        <v>229498.71269360001</v>
      </c>
      <c r="T335" s="106">
        <f>IF(A335="Upgrade",IF(OR(H335=4,H335=5),_xlfn.XLOOKUP(I335,'Renewal Rates'!$A$22:$A$27,'Renewal Rates'!$B$22:$B$27,'Renewal Rates'!$B$27,0),'Renewal Rates'!$F$7),IF(A335="Renewal",100%,0%))</f>
        <v>2.6599999999999999E-2</v>
      </c>
      <c r="U335" s="68">
        <f t="shared" si="5"/>
        <v>6104.6657576497601</v>
      </c>
      <c r="V335" s="68"/>
    </row>
    <row r="336" spans="1:22" x14ac:dyDescent="0.3">
      <c r="A336" s="41" t="s">
        <v>21</v>
      </c>
      <c r="B336" s="51">
        <v>4.0259999999999998</v>
      </c>
      <c r="C336" s="58">
        <v>2000974569</v>
      </c>
      <c r="D336" s="86">
        <v>31.59</v>
      </c>
      <c r="E336" s="86"/>
      <c r="F336" s="52">
        <v>900</v>
      </c>
      <c r="G336" s="53">
        <v>1500</v>
      </c>
      <c r="H336" s="52" t="s">
        <v>122</v>
      </c>
      <c r="I336" s="45" t="s">
        <v>122</v>
      </c>
      <c r="J336" s="41">
        <v>374</v>
      </c>
      <c r="K336" s="54" t="s">
        <v>23</v>
      </c>
      <c r="L336" s="54" t="s">
        <v>24</v>
      </c>
      <c r="M336" s="57">
        <v>279793</v>
      </c>
      <c r="N336" s="57">
        <v>8858</v>
      </c>
      <c r="O336" s="57">
        <v>95129</v>
      </c>
      <c r="P336" s="57">
        <v>374922</v>
      </c>
      <c r="Q336" s="77">
        <v>0.4</v>
      </c>
      <c r="R336" s="57">
        <v>149969</v>
      </c>
      <c r="S336" s="57">
        <v>524890.97237920016</v>
      </c>
      <c r="T336" s="106">
        <f>IF(A336="Upgrade",IF(OR(H336=4,H336=5),_xlfn.XLOOKUP(I336,'Renewal Rates'!$A$22:$A$27,'Renewal Rates'!$B$22:$B$27,'Renewal Rates'!$B$27,0),'Renewal Rates'!$F$7),IF(A336="Renewal",100%,0%))</f>
        <v>2.6599999999999999E-2</v>
      </c>
      <c r="U336" s="68">
        <f t="shared" si="5"/>
        <v>13962.099865286724</v>
      </c>
      <c r="V336" s="68"/>
    </row>
    <row r="337" spans="1:22" x14ac:dyDescent="0.3">
      <c r="A337" s="41" t="s">
        <v>21</v>
      </c>
      <c r="B337" s="51">
        <v>16.015000000000001</v>
      </c>
      <c r="C337" s="58">
        <v>2000692068</v>
      </c>
      <c r="D337" s="86">
        <v>2.42</v>
      </c>
      <c r="E337" s="86"/>
      <c r="F337" s="52">
        <v>225</v>
      </c>
      <c r="G337" s="53">
        <v>675</v>
      </c>
      <c r="H337" s="52" t="s">
        <v>122</v>
      </c>
      <c r="I337" s="45" t="s">
        <v>122</v>
      </c>
      <c r="J337" s="41">
        <v>376</v>
      </c>
      <c r="K337" s="54" t="s">
        <v>23</v>
      </c>
      <c r="L337" s="54" t="s">
        <v>24</v>
      </c>
      <c r="M337" s="57">
        <v>52909</v>
      </c>
      <c r="N337" s="57">
        <v>21862</v>
      </c>
      <c r="O337" s="57">
        <v>17989</v>
      </c>
      <c r="P337" s="57">
        <v>70898</v>
      </c>
      <c r="Q337" s="77">
        <v>0.4</v>
      </c>
      <c r="R337" s="57">
        <v>28359</v>
      </c>
      <c r="S337" s="57">
        <v>99256.55</v>
      </c>
      <c r="T337" s="106">
        <f>IF(A337="Upgrade",IF(OR(H337=4,H337=5),_xlfn.XLOOKUP(I337,'Renewal Rates'!$A$22:$A$27,'Renewal Rates'!$B$22:$B$27,'Renewal Rates'!$B$27,0),'Renewal Rates'!$F$7),IF(A337="Renewal",100%,0%))</f>
        <v>2.6599999999999999E-2</v>
      </c>
      <c r="U337" s="68">
        <f t="shared" si="5"/>
        <v>2640.2242299999998</v>
      </c>
      <c r="V337" s="68"/>
    </row>
    <row r="338" spans="1:22" x14ac:dyDescent="0.3">
      <c r="A338" s="41" t="s">
        <v>21</v>
      </c>
      <c r="B338" s="51">
        <v>8.016</v>
      </c>
      <c r="C338" s="58">
        <v>2000105254</v>
      </c>
      <c r="D338" s="86">
        <v>67.44</v>
      </c>
      <c r="E338" s="86"/>
      <c r="F338" s="52">
        <v>300</v>
      </c>
      <c r="G338" s="53">
        <v>675</v>
      </c>
      <c r="H338" s="52">
        <v>4</v>
      </c>
      <c r="I338" s="45">
        <v>2</v>
      </c>
      <c r="J338" s="41">
        <v>368</v>
      </c>
      <c r="K338" s="54" t="s">
        <v>23</v>
      </c>
      <c r="L338" s="54" t="s">
        <v>24</v>
      </c>
      <c r="M338" s="57">
        <v>272282</v>
      </c>
      <c r="N338" s="57">
        <v>4038</v>
      </c>
      <c r="O338" s="57">
        <v>92576</v>
      </c>
      <c r="P338" s="57">
        <v>364858</v>
      </c>
      <c r="Q338" s="77">
        <v>0.4</v>
      </c>
      <c r="R338" s="57">
        <v>145943</v>
      </c>
      <c r="S338" s="57">
        <v>510801</v>
      </c>
      <c r="T338" s="106">
        <f>IF(A338="Upgrade",IF(OR(H338=4,H338=5),_xlfn.XLOOKUP(I338,'Renewal Rates'!$A$22:$A$27,'Renewal Rates'!$B$22:$B$27,'Renewal Rates'!$B$27,0),'Renewal Rates'!$F$7),IF(A338="Renewal",100%,0%))</f>
        <v>0</v>
      </c>
      <c r="U338" s="68">
        <f t="shared" si="5"/>
        <v>0</v>
      </c>
      <c r="V338" s="68"/>
    </row>
    <row r="339" spans="1:22" x14ac:dyDescent="0.3">
      <c r="A339" s="41" t="s">
        <v>21</v>
      </c>
      <c r="B339" s="51">
        <v>8.0180000000000007</v>
      </c>
      <c r="C339" s="58">
        <v>2000743750</v>
      </c>
      <c r="D339" s="86">
        <v>24.05</v>
      </c>
      <c r="E339" s="86"/>
      <c r="F339" s="52">
        <v>450</v>
      </c>
      <c r="G339" s="53">
        <v>825</v>
      </c>
      <c r="H339" s="52" t="s">
        <v>122</v>
      </c>
      <c r="I339" s="45" t="s">
        <v>122</v>
      </c>
      <c r="J339" s="41">
        <v>368</v>
      </c>
      <c r="K339" s="54" t="s">
        <v>23</v>
      </c>
      <c r="L339" s="54" t="s">
        <v>24</v>
      </c>
      <c r="M339" s="57">
        <v>148011</v>
      </c>
      <c r="N339" s="57">
        <v>6154</v>
      </c>
      <c r="O339" s="57">
        <v>50324</v>
      </c>
      <c r="P339" s="57">
        <v>198335</v>
      </c>
      <c r="Q339" s="77">
        <v>0.4</v>
      </c>
      <c r="R339" s="57">
        <v>79334</v>
      </c>
      <c r="S339" s="57">
        <v>277668.65000000002</v>
      </c>
      <c r="T339" s="106">
        <f>IF(A339="Upgrade",IF(OR(H339=4,H339=5),_xlfn.XLOOKUP(I339,'Renewal Rates'!$A$22:$A$27,'Renewal Rates'!$B$22:$B$27,'Renewal Rates'!$B$27,0),'Renewal Rates'!$F$7),IF(A339="Renewal",100%,0%))</f>
        <v>2.6599999999999999E-2</v>
      </c>
      <c r="U339" s="68">
        <f t="shared" si="5"/>
        <v>7385.9860900000003</v>
      </c>
      <c r="V339" s="68"/>
    </row>
    <row r="340" spans="1:22" x14ac:dyDescent="0.3">
      <c r="A340" s="41" t="s">
        <v>21</v>
      </c>
      <c r="B340" s="51">
        <v>10.02</v>
      </c>
      <c r="C340" s="58">
        <v>2000952333</v>
      </c>
      <c r="D340" s="86">
        <v>30.4</v>
      </c>
      <c r="E340" s="86"/>
      <c r="F340" s="52">
        <v>375</v>
      </c>
      <c r="G340" s="53">
        <v>675</v>
      </c>
      <c r="H340" s="52" t="s">
        <v>122</v>
      </c>
      <c r="I340" s="45" t="s">
        <v>122</v>
      </c>
      <c r="J340" s="41">
        <v>377</v>
      </c>
      <c r="K340" s="54" t="s">
        <v>23</v>
      </c>
      <c r="L340" s="54" t="s">
        <v>24</v>
      </c>
      <c r="M340" s="57">
        <v>125264</v>
      </c>
      <c r="N340" s="57">
        <v>4120</v>
      </c>
      <c r="O340" s="57">
        <v>42590</v>
      </c>
      <c r="P340" s="57">
        <v>167854</v>
      </c>
      <c r="Q340" s="77">
        <v>0.4</v>
      </c>
      <c r="R340" s="57">
        <v>67142</v>
      </c>
      <c r="S340" s="57">
        <v>234996.16</v>
      </c>
      <c r="T340" s="106">
        <f>IF(A340="Upgrade",IF(OR(H340=4,H340=5),_xlfn.XLOOKUP(I340,'Renewal Rates'!$A$22:$A$27,'Renewal Rates'!$B$22:$B$27,'Renewal Rates'!$B$27,0),'Renewal Rates'!$F$7),IF(A340="Renewal",100%,0%))</f>
        <v>2.6599999999999999E-2</v>
      </c>
      <c r="U340" s="68">
        <f t="shared" si="5"/>
        <v>6250.8978559999996</v>
      </c>
      <c r="V340" s="68"/>
    </row>
    <row r="341" spans="1:22" x14ac:dyDescent="0.3">
      <c r="A341" s="41" t="s">
        <v>21</v>
      </c>
      <c r="B341" s="51">
        <v>16.007999999999999</v>
      </c>
      <c r="C341" s="58">
        <v>2000649014</v>
      </c>
      <c r="D341" s="86">
        <v>64.760000000000005</v>
      </c>
      <c r="E341" s="86"/>
      <c r="F341" s="52">
        <v>600</v>
      </c>
      <c r="G341" s="53">
        <v>975</v>
      </c>
      <c r="H341" s="52" t="s">
        <v>122</v>
      </c>
      <c r="I341" s="45" t="s">
        <v>122</v>
      </c>
      <c r="J341" s="41">
        <v>376</v>
      </c>
      <c r="K341" s="54" t="s">
        <v>23</v>
      </c>
      <c r="L341" s="54" t="s">
        <v>24</v>
      </c>
      <c r="M341" s="57">
        <v>398133</v>
      </c>
      <c r="N341" s="57">
        <v>6658</v>
      </c>
      <c r="O341" s="57">
        <v>135365</v>
      </c>
      <c r="P341" s="57">
        <v>533498</v>
      </c>
      <c r="Q341" s="77">
        <v>0.4</v>
      </c>
      <c r="R341" s="57">
        <v>213399</v>
      </c>
      <c r="S341" s="57">
        <v>746897.09</v>
      </c>
      <c r="T341" s="106">
        <f>IF(A341="Upgrade",IF(OR(H341=4,H341=5),_xlfn.XLOOKUP(I341,'Renewal Rates'!$A$22:$A$27,'Renewal Rates'!$B$22:$B$27,'Renewal Rates'!$B$27,0),'Renewal Rates'!$F$7),IF(A341="Renewal",100%,0%))</f>
        <v>2.6599999999999999E-2</v>
      </c>
      <c r="U341" s="68">
        <f t="shared" si="5"/>
        <v>19867.462593999997</v>
      </c>
      <c r="V341" s="68"/>
    </row>
    <row r="342" spans="1:22" x14ac:dyDescent="0.3">
      <c r="A342" s="41" t="s">
        <v>21</v>
      </c>
      <c r="B342" s="51">
        <v>8.01</v>
      </c>
      <c r="C342" s="58">
        <v>2000469467</v>
      </c>
      <c r="D342" s="86">
        <v>20.86</v>
      </c>
      <c r="E342" s="86"/>
      <c r="F342" s="52">
        <v>300</v>
      </c>
      <c r="G342" s="53">
        <v>750</v>
      </c>
      <c r="H342" s="52" t="s">
        <v>122</v>
      </c>
      <c r="I342" s="45" t="s">
        <v>122</v>
      </c>
      <c r="J342" s="41">
        <v>368</v>
      </c>
      <c r="K342" s="54" t="s">
        <v>23</v>
      </c>
      <c r="L342" s="54" t="s">
        <v>24</v>
      </c>
      <c r="M342" s="57">
        <v>116783</v>
      </c>
      <c r="N342" s="57">
        <v>5599</v>
      </c>
      <c r="O342" s="57">
        <v>39706</v>
      </c>
      <c r="P342" s="57">
        <v>156489</v>
      </c>
      <c r="Q342" s="77">
        <v>0.4</v>
      </c>
      <c r="R342" s="57">
        <v>62596</v>
      </c>
      <c r="S342" s="57">
        <v>219084.65</v>
      </c>
      <c r="T342" s="106">
        <f>IF(A342="Upgrade",IF(OR(H342=4,H342=5),_xlfn.XLOOKUP(I342,'Renewal Rates'!$A$22:$A$27,'Renewal Rates'!$B$22:$B$27,'Renewal Rates'!$B$27,0),'Renewal Rates'!$F$7),IF(A342="Renewal",100%,0%))</f>
        <v>2.6599999999999999E-2</v>
      </c>
      <c r="U342" s="68">
        <f t="shared" si="5"/>
        <v>5827.6516899999997</v>
      </c>
      <c r="V342" s="68"/>
    </row>
    <row r="343" spans="1:22" x14ac:dyDescent="0.3">
      <c r="A343" s="41" t="s">
        <v>21</v>
      </c>
      <c r="B343" s="51">
        <v>8.01</v>
      </c>
      <c r="C343" s="58">
        <v>3000022409</v>
      </c>
      <c r="D343" s="86">
        <v>14.21</v>
      </c>
      <c r="E343" s="86"/>
      <c r="F343" s="52">
        <v>450</v>
      </c>
      <c r="G343" s="53">
        <v>750</v>
      </c>
      <c r="H343" s="52" t="s">
        <v>122</v>
      </c>
      <c r="I343" s="45" t="s">
        <v>122</v>
      </c>
      <c r="J343" s="41">
        <v>368</v>
      </c>
      <c r="K343" s="54" t="s">
        <v>23</v>
      </c>
      <c r="L343" s="54" t="s">
        <v>24</v>
      </c>
      <c r="M343" s="57">
        <v>88311</v>
      </c>
      <c r="N343" s="57">
        <v>6213</v>
      </c>
      <c r="O343" s="57">
        <v>30026</v>
      </c>
      <c r="P343" s="57">
        <v>118337</v>
      </c>
      <c r="Q343" s="77">
        <v>0.4</v>
      </c>
      <c r="R343" s="57">
        <v>47335</v>
      </c>
      <c r="S343" s="57">
        <v>165672.16</v>
      </c>
      <c r="T343" s="106">
        <f>IF(A343="Upgrade",IF(OR(H343=4,H343=5),_xlfn.XLOOKUP(I343,'Renewal Rates'!$A$22:$A$27,'Renewal Rates'!$B$22:$B$27,'Renewal Rates'!$B$27,0),'Renewal Rates'!$F$7),IF(A343="Renewal",100%,0%))</f>
        <v>2.6599999999999999E-2</v>
      </c>
      <c r="U343" s="68">
        <f t="shared" si="5"/>
        <v>4406.8794559999997</v>
      </c>
      <c r="V343" s="68"/>
    </row>
    <row r="344" spans="1:22" x14ac:dyDescent="0.3">
      <c r="A344" s="41" t="s">
        <v>21</v>
      </c>
      <c r="B344" s="51">
        <v>17.033999999999999</v>
      </c>
      <c r="C344" s="58">
        <v>2000404884</v>
      </c>
      <c r="D344" s="86">
        <v>52.56</v>
      </c>
      <c r="E344" s="86"/>
      <c r="F344" s="52">
        <v>450</v>
      </c>
      <c r="G344" s="53">
        <v>825</v>
      </c>
      <c r="H344" s="52" t="s">
        <v>122</v>
      </c>
      <c r="I344" s="45" t="s">
        <v>122</v>
      </c>
      <c r="J344" s="41">
        <v>376</v>
      </c>
      <c r="K344" s="54" t="s">
        <v>23</v>
      </c>
      <c r="L344" s="54" t="s">
        <v>24</v>
      </c>
      <c r="M344" s="57">
        <v>293234</v>
      </c>
      <c r="N344" s="57">
        <v>5579</v>
      </c>
      <c r="O344" s="57">
        <v>99699</v>
      </c>
      <c r="P344" s="57">
        <v>392933</v>
      </c>
      <c r="Q344" s="77">
        <v>0.4</v>
      </c>
      <c r="R344" s="57">
        <v>157173</v>
      </c>
      <c r="S344" s="57">
        <v>550106.23</v>
      </c>
      <c r="T344" s="106">
        <f>IF(A344="Upgrade",IF(OR(H344=4,H344=5),_xlfn.XLOOKUP(I344,'Renewal Rates'!$A$22:$A$27,'Renewal Rates'!$B$22:$B$27,'Renewal Rates'!$B$27,0),'Renewal Rates'!$F$7),IF(A344="Renewal",100%,0%))</f>
        <v>2.6599999999999999E-2</v>
      </c>
      <c r="U344" s="68">
        <f t="shared" si="5"/>
        <v>14632.825717999998</v>
      </c>
      <c r="V344" s="68"/>
    </row>
    <row r="345" spans="1:22" x14ac:dyDescent="0.3">
      <c r="A345" s="41" t="s">
        <v>21</v>
      </c>
      <c r="B345" s="51">
        <v>1.0089999999999999</v>
      </c>
      <c r="C345" s="58">
        <v>2000009226</v>
      </c>
      <c r="D345" s="86">
        <v>71.42</v>
      </c>
      <c r="E345" s="86"/>
      <c r="F345" s="52">
        <v>450</v>
      </c>
      <c r="G345" s="53">
        <v>750</v>
      </c>
      <c r="H345" s="52" t="s">
        <v>122</v>
      </c>
      <c r="I345" s="45" t="s">
        <v>122</v>
      </c>
      <c r="J345" s="41">
        <v>376</v>
      </c>
      <c r="K345" s="54" t="s">
        <v>23</v>
      </c>
      <c r="L345" s="54" t="s">
        <v>24</v>
      </c>
      <c r="M345" s="57">
        <v>330614</v>
      </c>
      <c r="N345" s="57">
        <v>4629</v>
      </c>
      <c r="O345" s="57">
        <v>112409</v>
      </c>
      <c r="P345" s="57">
        <v>443023</v>
      </c>
      <c r="Q345" s="77">
        <v>0.4</v>
      </c>
      <c r="R345" s="57">
        <v>177209</v>
      </c>
      <c r="S345" s="57">
        <v>620232.35</v>
      </c>
      <c r="T345" s="106">
        <f>IF(A345="Upgrade",IF(OR(H345=4,H345=5),_xlfn.XLOOKUP(I345,'Renewal Rates'!$A$22:$A$27,'Renewal Rates'!$B$22:$B$27,'Renewal Rates'!$B$27,0),'Renewal Rates'!$F$7),IF(A345="Renewal",100%,0%))</f>
        <v>2.6599999999999999E-2</v>
      </c>
      <c r="U345" s="68">
        <f t="shared" si="5"/>
        <v>16498.180509999998</v>
      </c>
      <c r="V345" s="68"/>
    </row>
    <row r="346" spans="1:22" x14ac:dyDescent="0.3">
      <c r="A346" s="41" t="s">
        <v>21</v>
      </c>
      <c r="B346" s="51">
        <v>17.015999999999998</v>
      </c>
      <c r="C346" s="58">
        <v>3000015173</v>
      </c>
      <c r="D346" s="86">
        <v>39.330857999999999</v>
      </c>
      <c r="E346" s="86"/>
      <c r="F346" s="52">
        <v>225</v>
      </c>
      <c r="G346" s="53">
        <v>600</v>
      </c>
      <c r="H346" s="52" t="s">
        <v>122</v>
      </c>
      <c r="I346" s="45" t="s">
        <v>122</v>
      </c>
      <c r="J346" s="41">
        <v>376</v>
      </c>
      <c r="K346" s="54" t="s">
        <v>23</v>
      </c>
      <c r="L346" s="54" t="s">
        <v>24</v>
      </c>
      <c r="M346" s="57">
        <v>158828</v>
      </c>
      <c r="N346" s="57">
        <v>4038</v>
      </c>
      <c r="O346" s="57">
        <v>54002</v>
      </c>
      <c r="P346" s="57">
        <v>212830</v>
      </c>
      <c r="Q346" s="77">
        <v>0.4</v>
      </c>
      <c r="R346" s="57">
        <v>85132</v>
      </c>
      <c r="S346" s="57">
        <v>297962.15999999997</v>
      </c>
      <c r="T346" s="106">
        <f>IF(A346="Upgrade",IF(OR(H346=4,H346=5),_xlfn.XLOOKUP(I346,'Renewal Rates'!$A$22:$A$27,'Renewal Rates'!$B$22:$B$27,'Renewal Rates'!$B$27,0),'Renewal Rates'!$F$7),IF(A346="Renewal",100%,0%))</f>
        <v>2.6599999999999999E-2</v>
      </c>
      <c r="U346" s="68">
        <f t="shared" si="5"/>
        <v>7925.7934559999985</v>
      </c>
      <c r="V346" s="68"/>
    </row>
    <row r="347" spans="1:22" x14ac:dyDescent="0.3">
      <c r="A347" s="41" t="s">
        <v>21</v>
      </c>
      <c r="B347" s="51">
        <v>2.0089999999999999</v>
      </c>
      <c r="C347" s="58">
        <v>2000070069</v>
      </c>
      <c r="D347" s="86">
        <v>68.02</v>
      </c>
      <c r="E347" s="86"/>
      <c r="F347" s="52">
        <v>300</v>
      </c>
      <c r="G347" s="53">
        <v>975</v>
      </c>
      <c r="H347" s="52">
        <v>4</v>
      </c>
      <c r="I347" s="45">
        <v>4</v>
      </c>
      <c r="J347" s="41">
        <v>376</v>
      </c>
      <c r="K347" s="54" t="s">
        <v>23</v>
      </c>
      <c r="L347" s="54" t="s">
        <v>24</v>
      </c>
      <c r="M347" s="57">
        <v>475081</v>
      </c>
      <c r="N347" s="57">
        <v>6984</v>
      </c>
      <c r="O347" s="57">
        <v>161527</v>
      </c>
      <c r="P347" s="57">
        <v>636608</v>
      </c>
      <c r="Q347" s="77">
        <v>0.4</v>
      </c>
      <c r="R347" s="57">
        <v>254643</v>
      </c>
      <c r="S347" s="57">
        <v>891251.51</v>
      </c>
      <c r="T347" s="106">
        <f>IF(A347="Upgrade",IF(OR(H347=4,H347=5),_xlfn.XLOOKUP(I347,'Renewal Rates'!$A$22:$A$27,'Renewal Rates'!$B$22:$B$27,'Renewal Rates'!$B$27,0),'Renewal Rates'!$F$7),IF(A347="Renewal",100%,0%))</f>
        <v>0.7</v>
      </c>
      <c r="U347" s="68">
        <f t="shared" si="5"/>
        <v>623876.05699999991</v>
      </c>
      <c r="V347" s="68"/>
    </row>
    <row r="348" spans="1:22" x14ac:dyDescent="0.3">
      <c r="A348" s="41" t="s">
        <v>21</v>
      </c>
      <c r="B348" s="51">
        <v>9.0139999999999993</v>
      </c>
      <c r="C348" s="58">
        <v>3000007133</v>
      </c>
      <c r="D348" s="86">
        <v>20.350000000000001</v>
      </c>
      <c r="E348" s="86"/>
      <c r="F348" s="52">
        <v>450</v>
      </c>
      <c r="G348" s="53">
        <v>750</v>
      </c>
      <c r="H348" s="52" t="s">
        <v>122</v>
      </c>
      <c r="I348" s="45" t="s">
        <v>122</v>
      </c>
      <c r="J348" s="41">
        <v>375</v>
      </c>
      <c r="K348" s="54" t="s">
        <v>23</v>
      </c>
      <c r="L348" s="54" t="s">
        <v>24</v>
      </c>
      <c r="M348" s="57">
        <v>116094</v>
      </c>
      <c r="N348" s="57">
        <v>5704</v>
      </c>
      <c r="O348" s="57">
        <v>39472</v>
      </c>
      <c r="P348" s="57">
        <v>155566</v>
      </c>
      <c r="Q348" s="77">
        <v>0.4</v>
      </c>
      <c r="R348" s="57">
        <v>62226</v>
      </c>
      <c r="S348" s="57">
        <v>217792.16</v>
      </c>
      <c r="T348" s="106">
        <f>IF(A348="Upgrade",IF(OR(H348=4,H348=5),_xlfn.XLOOKUP(I348,'Renewal Rates'!$A$22:$A$27,'Renewal Rates'!$B$22:$B$27,'Renewal Rates'!$B$27,0),'Renewal Rates'!$F$7),IF(A348="Renewal",100%,0%))</f>
        <v>2.6599999999999999E-2</v>
      </c>
      <c r="U348" s="68">
        <f t="shared" si="5"/>
        <v>5793.2714559999995</v>
      </c>
      <c r="V348" s="68"/>
    </row>
    <row r="349" spans="1:22" x14ac:dyDescent="0.3">
      <c r="A349" s="41" t="s">
        <v>21</v>
      </c>
      <c r="B349" s="51">
        <v>17.018999999999998</v>
      </c>
      <c r="C349" s="58">
        <v>2000517581</v>
      </c>
      <c r="D349" s="86">
        <v>42.82</v>
      </c>
      <c r="E349" s="86"/>
      <c r="F349" s="52">
        <v>300</v>
      </c>
      <c r="G349" s="53">
        <v>1050</v>
      </c>
      <c r="H349" s="52" t="s">
        <v>122</v>
      </c>
      <c r="I349" s="45" t="s">
        <v>122</v>
      </c>
      <c r="J349" s="41">
        <v>376</v>
      </c>
      <c r="K349" s="54" t="s">
        <v>23</v>
      </c>
      <c r="L349" s="54" t="s">
        <v>24</v>
      </c>
      <c r="M349" s="57">
        <v>289258</v>
      </c>
      <c r="N349" s="57">
        <v>6756</v>
      </c>
      <c r="O349" s="57">
        <v>98348</v>
      </c>
      <c r="P349" s="57">
        <v>387605</v>
      </c>
      <c r="Q349" s="77">
        <v>0.4</v>
      </c>
      <c r="R349" s="57">
        <v>155042</v>
      </c>
      <c r="S349" s="57">
        <v>542647.5</v>
      </c>
      <c r="T349" s="106">
        <f>IF(A349="Upgrade",IF(OR(H349=4,H349=5),_xlfn.XLOOKUP(I349,'Renewal Rates'!$A$22:$A$27,'Renewal Rates'!$B$22:$B$27,'Renewal Rates'!$B$27,0),'Renewal Rates'!$F$7),IF(A349="Renewal",100%,0%))</f>
        <v>2.6599999999999999E-2</v>
      </c>
      <c r="U349" s="68">
        <f t="shared" si="5"/>
        <v>14434.423499999999</v>
      </c>
      <c r="V349" s="68"/>
    </row>
    <row r="350" spans="1:22" x14ac:dyDescent="0.3">
      <c r="A350" s="41" t="s">
        <v>21</v>
      </c>
      <c r="B350" s="51">
        <v>16.012</v>
      </c>
      <c r="C350" s="58">
        <v>2000239910</v>
      </c>
      <c r="D350" s="86">
        <v>53.45</v>
      </c>
      <c r="E350" s="86"/>
      <c r="F350" s="52">
        <v>300</v>
      </c>
      <c r="G350" s="53">
        <v>600</v>
      </c>
      <c r="H350" s="52">
        <v>4</v>
      </c>
      <c r="I350" s="45">
        <v>5</v>
      </c>
      <c r="J350" s="41">
        <v>376</v>
      </c>
      <c r="K350" s="54" t="s">
        <v>23</v>
      </c>
      <c r="L350" s="54" t="s">
        <v>24</v>
      </c>
      <c r="M350" s="57">
        <v>194896</v>
      </c>
      <c r="N350" s="57">
        <v>3646</v>
      </c>
      <c r="O350" s="57">
        <v>66265</v>
      </c>
      <c r="P350" s="57">
        <v>261161</v>
      </c>
      <c r="Q350" s="77">
        <v>0.4</v>
      </c>
      <c r="R350" s="57">
        <v>104464</v>
      </c>
      <c r="S350" s="57">
        <v>365625.49</v>
      </c>
      <c r="T350" s="106">
        <f>IF(A350="Upgrade",IF(OR(H350=4,H350=5),_xlfn.XLOOKUP(I350,'Renewal Rates'!$A$22:$A$27,'Renewal Rates'!$B$22:$B$27,'Renewal Rates'!$B$27,0),'Renewal Rates'!$F$7),IF(A350="Renewal",100%,0%))</f>
        <v>0.7</v>
      </c>
      <c r="U350" s="68">
        <f t="shared" si="5"/>
        <v>255937.84299999996</v>
      </c>
      <c r="V350" s="68"/>
    </row>
    <row r="351" spans="1:22" x14ac:dyDescent="0.3">
      <c r="A351" s="41" t="s">
        <v>21</v>
      </c>
      <c r="B351" s="51">
        <v>3.008</v>
      </c>
      <c r="C351" s="58">
        <v>2000775576</v>
      </c>
      <c r="D351" s="86">
        <v>61.99</v>
      </c>
      <c r="E351" s="86"/>
      <c r="F351" s="52">
        <v>900</v>
      </c>
      <c r="G351" s="53">
        <v>1650</v>
      </c>
      <c r="H351" s="52" t="s">
        <v>122</v>
      </c>
      <c r="I351" s="45" t="s">
        <v>122</v>
      </c>
      <c r="J351" s="41">
        <v>374</v>
      </c>
      <c r="K351" s="54" t="s">
        <v>23</v>
      </c>
      <c r="L351" s="54" t="s">
        <v>24</v>
      </c>
      <c r="M351" s="57">
        <v>570190</v>
      </c>
      <c r="N351" s="57">
        <v>9197</v>
      </c>
      <c r="O351" s="57">
        <v>193865</v>
      </c>
      <c r="P351" s="57">
        <v>764055</v>
      </c>
      <c r="Q351" s="77">
        <v>0.4</v>
      </c>
      <c r="R351" s="57">
        <v>305622</v>
      </c>
      <c r="S351" s="57">
        <v>1069677.2309216</v>
      </c>
      <c r="T351" s="106">
        <f>IF(A351="Upgrade",IF(OR(H351=4,H351=5),_xlfn.XLOOKUP(I351,'Renewal Rates'!$A$22:$A$27,'Renewal Rates'!$B$22:$B$27,'Renewal Rates'!$B$27,0),'Renewal Rates'!$F$7),IF(A351="Renewal",100%,0%))</f>
        <v>2.6599999999999999E-2</v>
      </c>
      <c r="U351" s="68">
        <f t="shared" si="5"/>
        <v>28453.414342514559</v>
      </c>
      <c r="V351" s="68"/>
    </row>
    <row r="352" spans="1:22" x14ac:dyDescent="0.3">
      <c r="A352" s="41" t="s">
        <v>21</v>
      </c>
      <c r="B352" s="51">
        <v>8.0190000000000001</v>
      </c>
      <c r="C352" s="58">
        <v>2000540447</v>
      </c>
      <c r="D352" s="86">
        <v>27.83</v>
      </c>
      <c r="E352" s="86"/>
      <c r="F352" s="52">
        <v>450</v>
      </c>
      <c r="G352" s="53">
        <v>825</v>
      </c>
      <c r="H352" s="52" t="s">
        <v>122</v>
      </c>
      <c r="I352" s="45" t="s">
        <v>122</v>
      </c>
      <c r="J352" s="41">
        <v>368</v>
      </c>
      <c r="K352" s="54" t="s">
        <v>23</v>
      </c>
      <c r="L352" s="54" t="s">
        <v>24</v>
      </c>
      <c r="M352" s="57">
        <v>149813</v>
      </c>
      <c r="N352" s="57">
        <v>5382</v>
      </c>
      <c r="O352" s="57">
        <v>50936</v>
      </c>
      <c r="P352" s="57">
        <v>200749</v>
      </c>
      <c r="Q352" s="77">
        <v>0.4</v>
      </c>
      <c r="R352" s="57">
        <v>80300</v>
      </c>
      <c r="S352" s="57">
        <v>281048.44</v>
      </c>
      <c r="T352" s="106">
        <f>IF(A352="Upgrade",IF(OR(H352=4,H352=5),_xlfn.XLOOKUP(I352,'Renewal Rates'!$A$22:$A$27,'Renewal Rates'!$B$22:$B$27,'Renewal Rates'!$B$27,0),'Renewal Rates'!$F$7),IF(A352="Renewal",100%,0%))</f>
        <v>2.6599999999999999E-2</v>
      </c>
      <c r="U352" s="68">
        <f t="shared" si="5"/>
        <v>7475.8885039999996</v>
      </c>
      <c r="V352" s="68"/>
    </row>
    <row r="353" spans="1:22" x14ac:dyDescent="0.3">
      <c r="A353" s="41" t="s">
        <v>21</v>
      </c>
      <c r="B353" s="51">
        <v>17.018000000000001</v>
      </c>
      <c r="C353" s="58">
        <v>2000859497</v>
      </c>
      <c r="D353" s="86">
        <v>83.88</v>
      </c>
      <c r="E353" s="86"/>
      <c r="F353" s="52">
        <v>300</v>
      </c>
      <c r="G353" s="53">
        <v>825</v>
      </c>
      <c r="H353" s="52">
        <v>4</v>
      </c>
      <c r="I353" s="45">
        <v>3</v>
      </c>
      <c r="J353" s="41">
        <v>376</v>
      </c>
      <c r="K353" s="54" t="s">
        <v>23</v>
      </c>
      <c r="L353" s="54" t="s">
        <v>24</v>
      </c>
      <c r="M353" s="57">
        <v>375873</v>
      </c>
      <c r="N353" s="57">
        <v>4481</v>
      </c>
      <c r="O353" s="57">
        <v>127797</v>
      </c>
      <c r="P353" s="57">
        <v>503670</v>
      </c>
      <c r="Q353" s="77">
        <v>0.4</v>
      </c>
      <c r="R353" s="57">
        <v>201468</v>
      </c>
      <c r="S353" s="57">
        <v>705138.16</v>
      </c>
      <c r="T353" s="106">
        <f>IF(A353="Upgrade",IF(OR(H353=4,H353=5),_xlfn.XLOOKUP(I353,'Renewal Rates'!$A$22:$A$27,'Renewal Rates'!$B$22:$B$27,'Renewal Rates'!$B$27,0),'Renewal Rates'!$F$7),IF(A353="Renewal",100%,0%))</f>
        <v>0.21</v>
      </c>
      <c r="U353" s="68">
        <f t="shared" si="5"/>
        <v>148079.01360000001</v>
      </c>
      <c r="V353" s="68"/>
    </row>
    <row r="354" spans="1:22" x14ac:dyDescent="0.3">
      <c r="A354" s="41" t="s">
        <v>21</v>
      </c>
      <c r="B354" s="51">
        <v>8.0079999999999991</v>
      </c>
      <c r="C354" s="58">
        <v>2000589600</v>
      </c>
      <c r="D354" s="86">
        <v>19.03</v>
      </c>
      <c r="E354" s="86"/>
      <c r="F354" s="52">
        <v>300</v>
      </c>
      <c r="G354" s="53">
        <v>600</v>
      </c>
      <c r="H354" s="52">
        <v>4</v>
      </c>
      <c r="I354" s="45">
        <v>4</v>
      </c>
      <c r="J354" s="41">
        <v>368</v>
      </c>
      <c r="K354" s="54" t="s">
        <v>23</v>
      </c>
      <c r="L354" s="54" t="s">
        <v>24</v>
      </c>
      <c r="M354" s="57">
        <v>82575</v>
      </c>
      <c r="N354" s="57">
        <v>4340</v>
      </c>
      <c r="O354" s="57">
        <v>28075</v>
      </c>
      <c r="P354" s="57">
        <v>110650</v>
      </c>
      <c r="Q354" s="77">
        <v>0.4</v>
      </c>
      <c r="R354" s="57">
        <v>44260</v>
      </c>
      <c r="S354" s="57">
        <v>154910.51999999999</v>
      </c>
      <c r="T354" s="106">
        <f>IF(A354="Upgrade",IF(OR(H354=4,H354=5),_xlfn.XLOOKUP(I354,'Renewal Rates'!$A$22:$A$27,'Renewal Rates'!$B$22:$B$27,'Renewal Rates'!$B$27,0),'Renewal Rates'!$F$7),IF(A354="Renewal",100%,0%))</f>
        <v>0.7</v>
      </c>
      <c r="U354" s="68">
        <f t="shared" si="5"/>
        <v>108437.36399999999</v>
      </c>
      <c r="V354" s="68"/>
    </row>
    <row r="355" spans="1:22" x14ac:dyDescent="0.3">
      <c r="A355" s="41" t="s">
        <v>21</v>
      </c>
      <c r="B355" s="51">
        <v>10.013999999999999</v>
      </c>
      <c r="C355" s="58">
        <v>2000849575</v>
      </c>
      <c r="D355" s="86">
        <v>48.23</v>
      </c>
      <c r="E355" s="86"/>
      <c r="F355" s="52">
        <v>900</v>
      </c>
      <c r="G355" s="53">
        <v>1350</v>
      </c>
      <c r="H355" s="52" t="s">
        <v>122</v>
      </c>
      <c r="I355" s="45" t="s">
        <v>122</v>
      </c>
      <c r="J355" s="41">
        <v>376</v>
      </c>
      <c r="K355" s="54" t="s">
        <v>23</v>
      </c>
      <c r="L355" s="54" t="s">
        <v>24</v>
      </c>
      <c r="M355" s="57">
        <v>347106</v>
      </c>
      <c r="N355" s="57">
        <v>7197</v>
      </c>
      <c r="O355" s="57">
        <v>122453</v>
      </c>
      <c r="P355" s="57">
        <v>482607</v>
      </c>
      <c r="Q355" s="77">
        <v>0.4</v>
      </c>
      <c r="R355" s="57">
        <v>193043</v>
      </c>
      <c r="S355" s="57">
        <v>675649.90390800009</v>
      </c>
      <c r="T355" s="106">
        <f>IF(A355="Upgrade",IF(OR(H355=4,H355=5),_xlfn.XLOOKUP(I355,'Renewal Rates'!$A$22:$A$27,'Renewal Rates'!$B$22:$B$27,'Renewal Rates'!$B$27,0),'Renewal Rates'!$F$7),IF(A355="Renewal",100%,0%))</f>
        <v>2.6599999999999999E-2</v>
      </c>
      <c r="U355" s="68">
        <f t="shared" si="5"/>
        <v>17972.287443952802</v>
      </c>
      <c r="V355" s="68"/>
    </row>
    <row r="356" spans="1:22" x14ac:dyDescent="0.3">
      <c r="A356" s="41" t="s">
        <v>21</v>
      </c>
      <c r="B356" s="51">
        <v>16.013999999999999</v>
      </c>
      <c r="C356" s="58">
        <v>2000790531</v>
      </c>
      <c r="D356" s="86">
        <v>20.66</v>
      </c>
      <c r="E356" s="86"/>
      <c r="F356" s="52">
        <v>300</v>
      </c>
      <c r="G356" s="53">
        <v>750</v>
      </c>
      <c r="H356" s="52" t="s">
        <v>122</v>
      </c>
      <c r="I356" s="45" t="s">
        <v>122</v>
      </c>
      <c r="J356" s="41">
        <v>376</v>
      </c>
      <c r="K356" s="54" t="s">
        <v>23</v>
      </c>
      <c r="L356" s="54" t="s">
        <v>24</v>
      </c>
      <c r="M356" s="57">
        <v>139909</v>
      </c>
      <c r="N356" s="57">
        <v>6773</v>
      </c>
      <c r="O356" s="57">
        <v>47569</v>
      </c>
      <c r="P356" s="57">
        <v>187478</v>
      </c>
      <c r="Q356" s="77">
        <v>0.4</v>
      </c>
      <c r="R356" s="57">
        <v>74991</v>
      </c>
      <c r="S356" s="57">
        <v>262468.71000000002</v>
      </c>
      <c r="T356" s="106">
        <f>IF(A356="Upgrade",IF(OR(H356=4,H356=5),_xlfn.XLOOKUP(I356,'Renewal Rates'!$A$22:$A$27,'Renewal Rates'!$B$22:$B$27,'Renewal Rates'!$B$27,0),'Renewal Rates'!$F$7),IF(A356="Renewal",100%,0%))</f>
        <v>2.6599999999999999E-2</v>
      </c>
      <c r="U356" s="68">
        <f t="shared" si="5"/>
        <v>6981.6676859999998</v>
      </c>
      <c r="V356" s="68"/>
    </row>
    <row r="357" spans="1:22" x14ac:dyDescent="0.3">
      <c r="A357" s="41" t="s">
        <v>21</v>
      </c>
      <c r="B357" s="51">
        <v>13.015000000000001</v>
      </c>
      <c r="C357" s="58">
        <v>3000043178</v>
      </c>
      <c r="D357" s="86">
        <v>23.39</v>
      </c>
      <c r="E357" s="86"/>
      <c r="F357" s="52">
        <v>225</v>
      </c>
      <c r="G357" s="53">
        <v>825</v>
      </c>
      <c r="H357" s="52" t="s">
        <v>122</v>
      </c>
      <c r="I357" s="45" t="s">
        <v>122</v>
      </c>
      <c r="J357" s="41">
        <v>375</v>
      </c>
      <c r="K357" s="54" t="s">
        <v>23</v>
      </c>
      <c r="L357" s="54" t="s">
        <v>24</v>
      </c>
      <c r="M357" s="57">
        <v>123608</v>
      </c>
      <c r="N357" s="57">
        <v>5284</v>
      </c>
      <c r="O357" s="57">
        <v>42027</v>
      </c>
      <c r="P357" s="57">
        <v>165635</v>
      </c>
      <c r="Q357" s="77">
        <v>0.4</v>
      </c>
      <c r="R357" s="57">
        <v>66254</v>
      </c>
      <c r="S357" s="57">
        <v>231888.88</v>
      </c>
      <c r="T357" s="106">
        <f>IF(A357="Upgrade",IF(OR(H357=4,H357=5),_xlfn.XLOOKUP(I357,'Renewal Rates'!$A$22:$A$27,'Renewal Rates'!$B$22:$B$27,'Renewal Rates'!$B$27,0),'Renewal Rates'!$F$7),IF(A357="Renewal",100%,0%))</f>
        <v>2.6599999999999999E-2</v>
      </c>
      <c r="U357" s="68">
        <f t="shared" si="5"/>
        <v>6168.2442080000001</v>
      </c>
      <c r="V357" s="68"/>
    </row>
    <row r="358" spans="1:22" x14ac:dyDescent="0.3">
      <c r="A358" s="41" t="s">
        <v>21</v>
      </c>
      <c r="B358" s="51">
        <v>4.0110000000000001</v>
      </c>
      <c r="C358" s="58">
        <v>2000648748</v>
      </c>
      <c r="D358" s="86">
        <v>80.36</v>
      </c>
      <c r="E358" s="86"/>
      <c r="F358" s="52">
        <v>525</v>
      </c>
      <c r="G358" s="53">
        <v>1050</v>
      </c>
      <c r="H358" s="52" t="s">
        <v>122</v>
      </c>
      <c r="I358" s="45" t="s">
        <v>122</v>
      </c>
      <c r="J358" s="41">
        <v>374</v>
      </c>
      <c r="K358" s="54" t="s">
        <v>23</v>
      </c>
      <c r="L358" s="54" t="s">
        <v>24</v>
      </c>
      <c r="M358" s="57">
        <v>516865</v>
      </c>
      <c r="N358" s="57">
        <v>6432</v>
      </c>
      <c r="O358" s="57">
        <v>175734</v>
      </c>
      <c r="P358" s="57">
        <v>692600</v>
      </c>
      <c r="Q358" s="77">
        <v>0.4</v>
      </c>
      <c r="R358" s="57">
        <v>277040</v>
      </c>
      <c r="S358" s="57">
        <v>969639.38628199999</v>
      </c>
      <c r="T358" s="106">
        <f>IF(A358="Upgrade",IF(OR(H358=4,H358=5),_xlfn.XLOOKUP(I358,'Renewal Rates'!$A$22:$A$27,'Renewal Rates'!$B$22:$B$27,'Renewal Rates'!$B$27,0),'Renewal Rates'!$F$7),IF(A358="Renewal",100%,0%))</f>
        <v>2.6599999999999999E-2</v>
      </c>
      <c r="U358" s="68">
        <f t="shared" si="5"/>
        <v>25792.4076751012</v>
      </c>
      <c r="V358" s="68"/>
    </row>
    <row r="359" spans="1:22" x14ac:dyDescent="0.3">
      <c r="A359" s="41" t="s">
        <v>21</v>
      </c>
      <c r="B359" s="51">
        <v>13.016999999999999</v>
      </c>
      <c r="C359" s="58">
        <v>2000546593</v>
      </c>
      <c r="D359" s="86">
        <v>55.05</v>
      </c>
      <c r="E359" s="86"/>
      <c r="F359" s="52">
        <v>600</v>
      </c>
      <c r="G359" s="53">
        <v>1125</v>
      </c>
      <c r="H359" s="52">
        <v>5</v>
      </c>
      <c r="I359" s="45">
        <v>2</v>
      </c>
      <c r="J359" s="41">
        <v>377</v>
      </c>
      <c r="K359" s="54" t="s">
        <v>23</v>
      </c>
      <c r="L359" s="54" t="s">
        <v>24</v>
      </c>
      <c r="M359" s="57">
        <v>351806</v>
      </c>
      <c r="N359" s="57">
        <v>6391</v>
      </c>
      <c r="O359" s="57">
        <v>151276</v>
      </c>
      <c r="P359" s="57">
        <v>596207</v>
      </c>
      <c r="Q359" s="77">
        <v>0.4</v>
      </c>
      <c r="R359" s="57">
        <v>238483</v>
      </c>
      <c r="S359" s="57">
        <v>834689.81516759994</v>
      </c>
      <c r="T359" s="106">
        <f>IF(A359="Upgrade",IF(OR(H359=4,H359=5),_xlfn.XLOOKUP(I359,'Renewal Rates'!$A$22:$A$27,'Renewal Rates'!$B$22:$B$27,'Renewal Rates'!$B$27,0),'Renewal Rates'!$F$7),IF(A359="Renewal",100%,0%))</f>
        <v>0</v>
      </c>
      <c r="U359" s="68">
        <f t="shared" si="5"/>
        <v>0</v>
      </c>
      <c r="V359" s="68"/>
    </row>
    <row r="360" spans="1:22" x14ac:dyDescent="0.3">
      <c r="A360" s="41" t="s">
        <v>21</v>
      </c>
      <c r="B360" s="51">
        <v>13.015000000000001</v>
      </c>
      <c r="C360" s="58">
        <v>2000560867</v>
      </c>
      <c r="D360" s="86">
        <v>19.984570999999999</v>
      </c>
      <c r="E360" s="86"/>
      <c r="F360" s="52">
        <v>300</v>
      </c>
      <c r="G360" s="53">
        <v>825</v>
      </c>
      <c r="H360" s="52" t="s">
        <v>122</v>
      </c>
      <c r="I360" s="45" t="s">
        <v>122</v>
      </c>
      <c r="J360" s="41">
        <v>375</v>
      </c>
      <c r="K360" s="54" t="s">
        <v>23</v>
      </c>
      <c r="L360" s="54" t="s">
        <v>24</v>
      </c>
      <c r="M360" s="57">
        <v>118411</v>
      </c>
      <c r="N360" s="57">
        <v>5925</v>
      </c>
      <c r="O360" s="57">
        <v>40260</v>
      </c>
      <c r="P360" s="57">
        <v>158671</v>
      </c>
      <c r="Q360" s="77">
        <v>0.4</v>
      </c>
      <c r="R360" s="57">
        <v>63469</v>
      </c>
      <c r="S360" s="57">
        <v>222139.79</v>
      </c>
      <c r="T360" s="106">
        <f>IF(A360="Upgrade",IF(OR(H360=4,H360=5),_xlfn.XLOOKUP(I360,'Renewal Rates'!$A$22:$A$27,'Renewal Rates'!$B$22:$B$27,'Renewal Rates'!$B$27,0),'Renewal Rates'!$F$7),IF(A360="Renewal",100%,0%))</f>
        <v>2.6599999999999999E-2</v>
      </c>
      <c r="U360" s="68">
        <f t="shared" si="5"/>
        <v>5908.9184139999998</v>
      </c>
      <c r="V360" s="68"/>
    </row>
    <row r="361" spans="1:22" x14ac:dyDescent="0.3">
      <c r="A361" s="41" t="s">
        <v>21</v>
      </c>
      <c r="B361" s="51">
        <v>8.01</v>
      </c>
      <c r="C361" s="58">
        <v>3000022411</v>
      </c>
      <c r="D361" s="86">
        <v>14.69</v>
      </c>
      <c r="E361" s="86"/>
      <c r="F361" s="52">
        <v>450</v>
      </c>
      <c r="G361" s="53">
        <v>750</v>
      </c>
      <c r="H361" s="52" t="s">
        <v>122</v>
      </c>
      <c r="I361" s="45" t="s">
        <v>122</v>
      </c>
      <c r="J361" s="41">
        <v>368</v>
      </c>
      <c r="K361" s="54" t="s">
        <v>23</v>
      </c>
      <c r="L361" s="54" t="s">
        <v>24</v>
      </c>
      <c r="M361" s="57">
        <v>88953</v>
      </c>
      <c r="N361" s="57">
        <v>6057</v>
      </c>
      <c r="O361" s="57">
        <v>30244</v>
      </c>
      <c r="P361" s="57">
        <v>119197</v>
      </c>
      <c r="Q361" s="77">
        <v>0.4</v>
      </c>
      <c r="R361" s="57">
        <v>47679</v>
      </c>
      <c r="S361" s="57">
        <v>166876.38</v>
      </c>
      <c r="T361" s="106">
        <f>IF(A361="Upgrade",IF(OR(H361=4,H361=5),_xlfn.XLOOKUP(I361,'Renewal Rates'!$A$22:$A$27,'Renewal Rates'!$B$22:$B$27,'Renewal Rates'!$B$27,0),'Renewal Rates'!$F$7),IF(A361="Renewal",100%,0%))</f>
        <v>2.6599999999999999E-2</v>
      </c>
      <c r="U361" s="68">
        <f t="shared" si="5"/>
        <v>4438.9117079999996</v>
      </c>
      <c r="V361" s="68"/>
    </row>
    <row r="362" spans="1:22" x14ac:dyDescent="0.3">
      <c r="A362" s="41" t="s">
        <v>21</v>
      </c>
      <c r="B362" s="51">
        <v>16.007000000000001</v>
      </c>
      <c r="C362" s="58">
        <v>2000371858</v>
      </c>
      <c r="D362" s="86">
        <v>17.04</v>
      </c>
      <c r="E362" s="86"/>
      <c r="F362" s="52">
        <v>225</v>
      </c>
      <c r="G362" s="53">
        <v>525</v>
      </c>
      <c r="H362" s="52" t="s">
        <v>122</v>
      </c>
      <c r="I362" s="45" t="s">
        <v>122</v>
      </c>
      <c r="J362" s="41">
        <v>376</v>
      </c>
      <c r="K362" s="54" t="s">
        <v>23</v>
      </c>
      <c r="L362" s="54" t="s">
        <v>24</v>
      </c>
      <c r="M362" s="57">
        <v>94615</v>
      </c>
      <c r="N362" s="57">
        <v>5554</v>
      </c>
      <c r="O362" s="57">
        <v>32169</v>
      </c>
      <c r="P362" s="57">
        <v>126784</v>
      </c>
      <c r="Q362" s="77">
        <v>0.4</v>
      </c>
      <c r="R362" s="57">
        <v>50714</v>
      </c>
      <c r="S362" s="57">
        <v>177497.8</v>
      </c>
      <c r="T362" s="106">
        <f>IF(A362="Upgrade",IF(OR(H362=4,H362=5),_xlfn.XLOOKUP(I362,'Renewal Rates'!$A$22:$A$27,'Renewal Rates'!$B$22:$B$27,'Renewal Rates'!$B$27,0),'Renewal Rates'!$F$7),IF(A362="Renewal",100%,0%))</f>
        <v>2.6599999999999999E-2</v>
      </c>
      <c r="U362" s="68">
        <f t="shared" si="5"/>
        <v>4721.4414799999995</v>
      </c>
      <c r="V362" s="68"/>
    </row>
    <row r="363" spans="1:22" x14ac:dyDescent="0.3">
      <c r="A363" s="41" t="s">
        <v>21</v>
      </c>
      <c r="B363" s="51">
        <v>10.015000000000001</v>
      </c>
      <c r="C363" s="58">
        <v>2000921512</v>
      </c>
      <c r="D363" s="86">
        <v>2.6</v>
      </c>
      <c r="E363" s="86"/>
      <c r="F363" s="52">
        <v>300</v>
      </c>
      <c r="G363" s="53">
        <v>600</v>
      </c>
      <c r="H363" s="52" t="s">
        <v>122</v>
      </c>
      <c r="I363" s="45" t="s">
        <v>122</v>
      </c>
      <c r="J363" s="41">
        <v>377</v>
      </c>
      <c r="K363" s="54" t="s">
        <v>23</v>
      </c>
      <c r="L363" s="54" t="s">
        <v>24</v>
      </c>
      <c r="M363" s="57">
        <v>46152</v>
      </c>
      <c r="N363" s="57">
        <v>17726</v>
      </c>
      <c r="O363" s="57">
        <v>15692</v>
      </c>
      <c r="P363" s="57">
        <v>61844</v>
      </c>
      <c r="Q363" s="77">
        <v>0.4</v>
      </c>
      <c r="R363" s="57">
        <v>24738</v>
      </c>
      <c r="S363" s="57">
        <v>86581.23</v>
      </c>
      <c r="T363" s="106">
        <f>IF(A363="Upgrade",IF(OR(H363=4,H363=5),_xlfn.XLOOKUP(I363,'Renewal Rates'!$A$22:$A$27,'Renewal Rates'!$B$22:$B$27,'Renewal Rates'!$B$27,0),'Renewal Rates'!$F$7),IF(A363="Renewal",100%,0%))</f>
        <v>2.6599999999999999E-2</v>
      </c>
      <c r="U363" s="68">
        <f t="shared" si="5"/>
        <v>2303.0607179999997</v>
      </c>
      <c r="V363" s="68"/>
    </row>
    <row r="364" spans="1:22" x14ac:dyDescent="0.3">
      <c r="A364" s="41" t="s">
        <v>21</v>
      </c>
      <c r="B364" s="51">
        <v>17.016999999999999</v>
      </c>
      <c r="C364" s="58">
        <v>2000627743</v>
      </c>
      <c r="D364" s="86">
        <v>69.75</v>
      </c>
      <c r="E364" s="86"/>
      <c r="F364" s="52">
        <v>225</v>
      </c>
      <c r="G364" s="53">
        <v>750</v>
      </c>
      <c r="H364" s="52" t="s">
        <v>122</v>
      </c>
      <c r="I364" s="45" t="s">
        <v>122</v>
      </c>
      <c r="J364" s="41">
        <v>376</v>
      </c>
      <c r="K364" s="54" t="s">
        <v>23</v>
      </c>
      <c r="L364" s="54" t="s">
        <v>24</v>
      </c>
      <c r="M364" s="57">
        <v>304949</v>
      </c>
      <c r="N364" s="57">
        <v>4372</v>
      </c>
      <c r="O364" s="57">
        <v>103683</v>
      </c>
      <c r="P364" s="57">
        <v>408632</v>
      </c>
      <c r="Q364" s="77">
        <v>0.4</v>
      </c>
      <c r="R364" s="57">
        <v>163453</v>
      </c>
      <c r="S364" s="57">
        <v>572085.12</v>
      </c>
      <c r="T364" s="106">
        <f>IF(A364="Upgrade",IF(OR(H364=4,H364=5),_xlfn.XLOOKUP(I364,'Renewal Rates'!$A$22:$A$27,'Renewal Rates'!$B$22:$B$27,'Renewal Rates'!$B$27,0),'Renewal Rates'!$F$7),IF(A364="Renewal",100%,0%))</f>
        <v>2.6599999999999999E-2</v>
      </c>
      <c r="U364" s="68">
        <f t="shared" si="5"/>
        <v>15217.464191999999</v>
      </c>
      <c r="V364" s="68"/>
    </row>
    <row r="365" spans="1:22" x14ac:dyDescent="0.3">
      <c r="A365" s="41" t="s">
        <v>21</v>
      </c>
      <c r="B365" s="51">
        <v>2.0110000000000001</v>
      </c>
      <c r="C365" s="58">
        <v>2000637383</v>
      </c>
      <c r="D365" s="86">
        <v>18.5</v>
      </c>
      <c r="E365" s="86"/>
      <c r="F365" s="52">
        <v>225</v>
      </c>
      <c r="G365" s="53">
        <v>525</v>
      </c>
      <c r="H365" s="52" t="s">
        <v>122</v>
      </c>
      <c r="I365" s="45" t="s">
        <v>122</v>
      </c>
      <c r="J365" s="41">
        <v>376</v>
      </c>
      <c r="K365" s="54" t="s">
        <v>23</v>
      </c>
      <c r="L365" s="54" t="s">
        <v>24</v>
      </c>
      <c r="M365" s="57">
        <v>79514</v>
      </c>
      <c r="N365" s="57">
        <v>4298</v>
      </c>
      <c r="O365" s="57">
        <v>27035</v>
      </c>
      <c r="P365" s="57">
        <v>106549</v>
      </c>
      <c r="Q365" s="77">
        <v>0.4</v>
      </c>
      <c r="R365" s="57">
        <v>42620</v>
      </c>
      <c r="S365" s="57">
        <v>149168.45000000001</v>
      </c>
      <c r="T365" s="106">
        <f>IF(A365="Upgrade",IF(OR(H365=4,H365=5),_xlfn.XLOOKUP(I365,'Renewal Rates'!$A$22:$A$27,'Renewal Rates'!$B$22:$B$27,'Renewal Rates'!$B$27,0),'Renewal Rates'!$F$7),IF(A365="Renewal",100%,0%))</f>
        <v>2.6599999999999999E-2</v>
      </c>
      <c r="U365" s="68">
        <f t="shared" si="5"/>
        <v>3967.8807700000002</v>
      </c>
      <c r="V365" s="68"/>
    </row>
    <row r="366" spans="1:22" x14ac:dyDescent="0.3">
      <c r="A366" s="41" t="s">
        <v>21</v>
      </c>
      <c r="B366" s="51">
        <v>3.008</v>
      </c>
      <c r="C366" s="58">
        <v>2000703577</v>
      </c>
      <c r="D366" s="86">
        <v>22.62</v>
      </c>
      <c r="E366" s="86"/>
      <c r="F366" s="52">
        <v>900</v>
      </c>
      <c r="G366" s="53">
        <v>1650</v>
      </c>
      <c r="H366" s="52">
        <v>4</v>
      </c>
      <c r="I366" s="45">
        <v>2</v>
      </c>
      <c r="J366" s="41">
        <v>374</v>
      </c>
      <c r="K366" s="54" t="s">
        <v>23</v>
      </c>
      <c r="L366" s="54" t="s">
        <v>24</v>
      </c>
      <c r="M366" s="57">
        <v>214053</v>
      </c>
      <c r="N366" s="57">
        <v>9465</v>
      </c>
      <c r="O366" s="57">
        <v>72778</v>
      </c>
      <c r="P366" s="57">
        <v>286830</v>
      </c>
      <c r="Q366" s="77">
        <v>0.4</v>
      </c>
      <c r="R366" s="57">
        <v>114732</v>
      </c>
      <c r="S366" s="57">
        <v>401562.6023724</v>
      </c>
      <c r="T366" s="106">
        <f>IF(A366="Upgrade",IF(OR(H366=4,H366=5),_xlfn.XLOOKUP(I366,'Renewal Rates'!$A$22:$A$27,'Renewal Rates'!$B$22:$B$27,'Renewal Rates'!$B$27,0),'Renewal Rates'!$F$7),IF(A366="Renewal",100%,0%))</f>
        <v>0</v>
      </c>
      <c r="U366" s="68">
        <f t="shared" si="5"/>
        <v>0</v>
      </c>
      <c r="V366" s="68"/>
    </row>
    <row r="367" spans="1:22" x14ac:dyDescent="0.3">
      <c r="A367" s="41" t="s">
        <v>21</v>
      </c>
      <c r="B367" s="51">
        <v>9.0079999999999991</v>
      </c>
      <c r="C367" s="58">
        <v>2000571213</v>
      </c>
      <c r="D367" s="86">
        <v>50.52</v>
      </c>
      <c r="E367" s="86"/>
      <c r="F367" s="52">
        <v>450</v>
      </c>
      <c r="G367" s="53">
        <v>900</v>
      </c>
      <c r="H367" s="52" t="s">
        <v>122</v>
      </c>
      <c r="I367" s="45" t="s">
        <v>122</v>
      </c>
      <c r="J367" s="41">
        <v>368</v>
      </c>
      <c r="K367" s="54" t="s">
        <v>23</v>
      </c>
      <c r="L367" s="54" t="s">
        <v>24</v>
      </c>
      <c r="M367" s="57">
        <v>296885</v>
      </c>
      <c r="N367" s="57">
        <v>5876</v>
      </c>
      <c r="O367" s="57">
        <v>100941</v>
      </c>
      <c r="P367" s="57">
        <v>397826</v>
      </c>
      <c r="Q367" s="77">
        <v>0.4</v>
      </c>
      <c r="R367" s="57">
        <v>159130</v>
      </c>
      <c r="S367" s="57">
        <v>556956.56999999995</v>
      </c>
      <c r="T367" s="106">
        <f>IF(A367="Upgrade",IF(OR(H367=4,H367=5),_xlfn.XLOOKUP(I367,'Renewal Rates'!$A$22:$A$27,'Renewal Rates'!$B$22:$B$27,'Renewal Rates'!$B$27,0),'Renewal Rates'!$F$7),IF(A367="Renewal",100%,0%))</f>
        <v>2.6599999999999999E-2</v>
      </c>
      <c r="U367" s="68">
        <f t="shared" si="5"/>
        <v>14815.044761999998</v>
      </c>
      <c r="V367" s="68"/>
    </row>
    <row r="368" spans="1:22" x14ac:dyDescent="0.3">
      <c r="A368" s="41" t="s">
        <v>21</v>
      </c>
      <c r="B368" s="51">
        <v>17.018000000000001</v>
      </c>
      <c r="C368" s="58">
        <v>2000394306</v>
      </c>
      <c r="D368" s="86">
        <v>91.9</v>
      </c>
      <c r="E368" s="86"/>
      <c r="F368" s="52">
        <v>300</v>
      </c>
      <c r="G368" s="53">
        <v>825</v>
      </c>
      <c r="H368" s="52" t="s">
        <v>122</v>
      </c>
      <c r="I368" s="45" t="s">
        <v>122</v>
      </c>
      <c r="J368" s="41">
        <v>376</v>
      </c>
      <c r="K368" s="54" t="s">
        <v>23</v>
      </c>
      <c r="L368" s="54" t="s">
        <v>24</v>
      </c>
      <c r="M368" s="57">
        <v>407533</v>
      </c>
      <c r="N368" s="57">
        <v>4435</v>
      </c>
      <c r="O368" s="57">
        <v>138561</v>
      </c>
      <c r="P368" s="57">
        <v>546094</v>
      </c>
      <c r="Q368" s="77">
        <v>0.4</v>
      </c>
      <c r="R368" s="57">
        <v>218437</v>
      </c>
      <c r="S368" s="57">
        <v>764531.17</v>
      </c>
      <c r="T368" s="106">
        <f>IF(A368="Upgrade",IF(OR(H368=4,H368=5),_xlfn.XLOOKUP(I368,'Renewal Rates'!$A$22:$A$27,'Renewal Rates'!$B$22:$B$27,'Renewal Rates'!$B$27,0),'Renewal Rates'!$F$7),IF(A368="Renewal",100%,0%))</f>
        <v>2.6599999999999999E-2</v>
      </c>
      <c r="U368" s="68">
        <f t="shared" si="5"/>
        <v>20336.529122</v>
      </c>
      <c r="V368" s="68"/>
    </row>
    <row r="369" spans="1:22" x14ac:dyDescent="0.3">
      <c r="A369" s="41" t="s">
        <v>21</v>
      </c>
      <c r="B369" s="51" t="s">
        <v>45</v>
      </c>
      <c r="C369" s="58">
        <v>2000773104</v>
      </c>
      <c r="D369" s="86">
        <v>14.21</v>
      </c>
      <c r="E369" s="86"/>
      <c r="F369" s="52">
        <v>300</v>
      </c>
      <c r="G369" s="53">
        <v>600</v>
      </c>
      <c r="H369" s="52" t="s">
        <v>122</v>
      </c>
      <c r="I369" s="45" t="s">
        <v>122</v>
      </c>
      <c r="J369" s="41">
        <v>376</v>
      </c>
      <c r="K369" s="54" t="s">
        <v>23</v>
      </c>
      <c r="L369" s="54" t="s">
        <v>24</v>
      </c>
      <c r="M369" s="57">
        <v>77441</v>
      </c>
      <c r="N369" s="57">
        <v>5507</v>
      </c>
      <c r="O369" s="57">
        <v>26330</v>
      </c>
      <c r="P369" s="57">
        <v>103771</v>
      </c>
      <c r="Q369" s="77">
        <v>0.4</v>
      </c>
      <c r="R369" s="57">
        <v>41508</v>
      </c>
      <c r="S369" s="57">
        <v>145278.87</v>
      </c>
      <c r="T369" s="106">
        <f>IF(A369="Upgrade",IF(OR(H369=4,H369=5),_xlfn.XLOOKUP(I369,'Renewal Rates'!$A$22:$A$27,'Renewal Rates'!$B$22:$B$27,'Renewal Rates'!$B$27,0),'Renewal Rates'!$F$7),IF(A369="Renewal",100%,0%))</f>
        <v>2.6599999999999999E-2</v>
      </c>
      <c r="U369" s="68">
        <f t="shared" si="5"/>
        <v>3864.4179419999996</v>
      </c>
      <c r="V369" s="68"/>
    </row>
    <row r="370" spans="1:22" x14ac:dyDescent="0.3">
      <c r="A370" s="41" t="s">
        <v>21</v>
      </c>
      <c r="B370" s="51" t="s">
        <v>43</v>
      </c>
      <c r="C370" s="58">
        <v>2000532991</v>
      </c>
      <c r="D370" s="86">
        <v>57.176876</v>
      </c>
      <c r="E370" s="86"/>
      <c r="F370" s="52">
        <v>375</v>
      </c>
      <c r="G370" s="53">
        <v>825</v>
      </c>
      <c r="H370" s="52">
        <v>4</v>
      </c>
      <c r="I370" s="45">
        <v>4</v>
      </c>
      <c r="J370" s="41">
        <v>376</v>
      </c>
      <c r="K370" s="54" t="s">
        <v>23</v>
      </c>
      <c r="L370" s="54" t="s">
        <v>24</v>
      </c>
      <c r="M370" s="57">
        <v>276868</v>
      </c>
      <c r="N370" s="57">
        <v>4842</v>
      </c>
      <c r="O370" s="57">
        <v>94135</v>
      </c>
      <c r="P370" s="57">
        <v>371004</v>
      </c>
      <c r="Q370" s="77">
        <v>0.4</v>
      </c>
      <c r="R370" s="57">
        <v>148401</v>
      </c>
      <c r="S370" s="57">
        <v>519405.13</v>
      </c>
      <c r="T370" s="106">
        <f>IF(A370="Upgrade",IF(OR(H370=4,H370=5),_xlfn.XLOOKUP(I370,'Renewal Rates'!$A$22:$A$27,'Renewal Rates'!$B$22:$B$27,'Renewal Rates'!$B$27,0),'Renewal Rates'!$F$7),IF(A370="Renewal",100%,0%))</f>
        <v>0.7</v>
      </c>
      <c r="U370" s="68">
        <f t="shared" si="5"/>
        <v>363583.59099999996</v>
      </c>
      <c r="V370" s="68"/>
    </row>
    <row r="371" spans="1:22" x14ac:dyDescent="0.3">
      <c r="A371" s="41" t="s">
        <v>21</v>
      </c>
      <c r="B371" s="51" t="s">
        <v>45</v>
      </c>
      <c r="C371" s="58">
        <v>2000628322</v>
      </c>
      <c r="D371" s="86">
        <v>27.68</v>
      </c>
      <c r="E371" s="86"/>
      <c r="F371" s="52">
        <v>300</v>
      </c>
      <c r="G371" s="53">
        <v>600</v>
      </c>
      <c r="H371" s="52">
        <v>4</v>
      </c>
      <c r="I371" s="45">
        <v>3</v>
      </c>
      <c r="J371" s="41">
        <v>376</v>
      </c>
      <c r="K371" s="54" t="s">
        <v>23</v>
      </c>
      <c r="L371" s="54" t="s">
        <v>24</v>
      </c>
      <c r="M371" s="57">
        <v>110981</v>
      </c>
      <c r="N371" s="57">
        <v>4007</v>
      </c>
      <c r="O371" s="57">
        <v>37733</v>
      </c>
      <c r="P371" s="57">
        <v>148714</v>
      </c>
      <c r="Q371" s="77">
        <v>0.4</v>
      </c>
      <c r="R371" s="57">
        <v>59486</v>
      </c>
      <c r="S371" s="57">
        <v>208199.71</v>
      </c>
      <c r="T371" s="106">
        <f>IF(A371="Upgrade",IF(OR(H371=4,H371=5),_xlfn.XLOOKUP(I371,'Renewal Rates'!$A$22:$A$27,'Renewal Rates'!$B$22:$B$27,'Renewal Rates'!$B$27,0),'Renewal Rates'!$F$7),IF(A371="Renewal",100%,0%))</f>
        <v>0.21</v>
      </c>
      <c r="U371" s="68">
        <f t="shared" si="5"/>
        <v>43721.939099999996</v>
      </c>
      <c r="V371" s="68"/>
    </row>
    <row r="372" spans="1:22" x14ac:dyDescent="0.3">
      <c r="A372" s="41" t="s">
        <v>21</v>
      </c>
      <c r="B372" s="51" t="s">
        <v>45</v>
      </c>
      <c r="C372" s="58">
        <v>2000015457</v>
      </c>
      <c r="D372" s="86">
        <v>42.5</v>
      </c>
      <c r="E372" s="86"/>
      <c r="F372" s="52">
        <v>300</v>
      </c>
      <c r="G372" s="53">
        <v>600</v>
      </c>
      <c r="H372" s="52">
        <v>4</v>
      </c>
      <c r="I372" s="45">
        <v>3</v>
      </c>
      <c r="J372" s="41">
        <v>376</v>
      </c>
      <c r="K372" s="54" t="s">
        <v>23</v>
      </c>
      <c r="L372" s="54" t="s">
        <v>24</v>
      </c>
      <c r="M372" s="57">
        <v>162110</v>
      </c>
      <c r="N372" s="57">
        <v>3814</v>
      </c>
      <c r="O372" s="57">
        <v>55117</v>
      </c>
      <c r="P372" s="57">
        <v>217228</v>
      </c>
      <c r="Q372" s="77">
        <v>0.4</v>
      </c>
      <c r="R372" s="57">
        <v>86891</v>
      </c>
      <c r="S372" s="57">
        <v>304118.5</v>
      </c>
      <c r="T372" s="106">
        <f>IF(A372="Upgrade",IF(OR(H372=4,H372=5),_xlfn.XLOOKUP(I372,'Renewal Rates'!$A$22:$A$27,'Renewal Rates'!$B$22:$B$27,'Renewal Rates'!$B$27,0),'Renewal Rates'!$F$7),IF(A372="Renewal",100%,0%))</f>
        <v>0.21</v>
      </c>
      <c r="U372" s="68">
        <f t="shared" si="5"/>
        <v>63864.884999999995</v>
      </c>
      <c r="V372" s="68"/>
    </row>
    <row r="373" spans="1:22" x14ac:dyDescent="0.3">
      <c r="A373" s="41" t="s">
        <v>21</v>
      </c>
      <c r="B373" s="51">
        <v>11.025</v>
      </c>
      <c r="C373" s="58">
        <v>2000351489</v>
      </c>
      <c r="D373" s="86">
        <v>81.739999999999995</v>
      </c>
      <c r="E373" s="86"/>
      <c r="F373" s="52">
        <v>675</v>
      </c>
      <c r="G373" s="53">
        <v>1050</v>
      </c>
      <c r="H373" s="52" t="s">
        <v>122</v>
      </c>
      <c r="I373" s="45" t="s">
        <v>122</v>
      </c>
      <c r="J373" s="41">
        <v>385</v>
      </c>
      <c r="K373" s="54" t="s">
        <v>23</v>
      </c>
      <c r="L373" s="54" t="s">
        <v>24</v>
      </c>
      <c r="M373" s="57">
        <v>542342</v>
      </c>
      <c r="N373" s="57">
        <v>6635</v>
      </c>
      <c r="O373" s="57">
        <v>184396</v>
      </c>
      <c r="P373" s="57">
        <v>726738</v>
      </c>
      <c r="Q373" s="77">
        <v>0.4</v>
      </c>
      <c r="R373" s="57">
        <v>290695</v>
      </c>
      <c r="S373" s="57">
        <v>1017433.56</v>
      </c>
      <c r="T373" s="106">
        <f>IF(A373="Upgrade",IF(OR(H373=4,H373=5),_xlfn.XLOOKUP(I373,'Renewal Rates'!$A$22:$A$27,'Renewal Rates'!$B$22:$B$27,'Renewal Rates'!$B$27,0),'Renewal Rates'!$F$7),IF(A373="Renewal",100%,0%))</f>
        <v>2.6599999999999999E-2</v>
      </c>
      <c r="U373" s="68">
        <f t="shared" si="5"/>
        <v>27063.732695999999</v>
      </c>
      <c r="V373" s="68"/>
    </row>
    <row r="374" spans="1:22" x14ac:dyDescent="0.3">
      <c r="A374" s="41" t="s">
        <v>21</v>
      </c>
      <c r="B374" s="51">
        <v>2.0150000000000001</v>
      </c>
      <c r="C374" s="58">
        <v>2000874869</v>
      </c>
      <c r="D374" s="86">
        <v>20.149999999999999</v>
      </c>
      <c r="E374" s="86"/>
      <c r="F374" s="52">
        <v>225</v>
      </c>
      <c r="G374" s="53">
        <v>675</v>
      </c>
      <c r="H374" s="52" t="s">
        <v>122</v>
      </c>
      <c r="I374" s="45" t="s">
        <v>122</v>
      </c>
      <c r="J374" s="41">
        <v>385</v>
      </c>
      <c r="K374" s="54" t="s">
        <v>23</v>
      </c>
      <c r="L374" s="54" t="s">
        <v>24</v>
      </c>
      <c r="M374" s="57">
        <v>93556</v>
      </c>
      <c r="N374" s="57">
        <v>4644</v>
      </c>
      <c r="O374" s="57">
        <v>31809</v>
      </c>
      <c r="P374" s="57">
        <v>125365</v>
      </c>
      <c r="Q374" s="77">
        <v>0.4</v>
      </c>
      <c r="R374" s="57">
        <v>50146</v>
      </c>
      <c r="S374" s="57">
        <v>175511.47</v>
      </c>
      <c r="T374" s="106">
        <f>IF(A374="Upgrade",IF(OR(H374=4,H374=5),_xlfn.XLOOKUP(I374,'Renewal Rates'!$A$22:$A$27,'Renewal Rates'!$B$22:$B$27,'Renewal Rates'!$B$27,0),'Renewal Rates'!$F$7),IF(A374="Renewal",100%,0%))</f>
        <v>2.6599999999999999E-2</v>
      </c>
      <c r="U374" s="68">
        <f t="shared" si="5"/>
        <v>4668.6051019999995</v>
      </c>
      <c r="V374" s="68"/>
    </row>
    <row r="375" spans="1:22" x14ac:dyDescent="0.3">
      <c r="A375" s="41" t="s">
        <v>21</v>
      </c>
      <c r="B375" s="51">
        <v>2.0019999999999998</v>
      </c>
      <c r="C375" s="58">
        <v>2000351679</v>
      </c>
      <c r="D375" s="86">
        <v>262.67</v>
      </c>
      <c r="E375" s="86"/>
      <c r="F375" s="52">
        <v>600</v>
      </c>
      <c r="G375" s="53">
        <v>1275</v>
      </c>
      <c r="H375" s="52" t="s">
        <v>122</v>
      </c>
      <c r="I375" s="45" t="s">
        <v>122</v>
      </c>
      <c r="J375" s="41">
        <v>385</v>
      </c>
      <c r="K375" s="54" t="s">
        <v>23</v>
      </c>
      <c r="L375" s="54" t="s">
        <v>24</v>
      </c>
      <c r="M375" s="57">
        <v>1768934</v>
      </c>
      <c r="N375" s="57">
        <v>6734</v>
      </c>
      <c r="O375" s="57">
        <v>601438</v>
      </c>
      <c r="P375" s="57">
        <v>2370372</v>
      </c>
      <c r="Q375" s="77">
        <v>0.4</v>
      </c>
      <c r="R375" s="57">
        <v>948149</v>
      </c>
      <c r="S375" s="57">
        <v>3318520.96</v>
      </c>
      <c r="T375" s="106">
        <f>IF(A375="Upgrade",IF(OR(H375=4,H375=5),_xlfn.XLOOKUP(I375,'Renewal Rates'!$A$22:$A$27,'Renewal Rates'!$B$22:$B$27,'Renewal Rates'!$B$27,0),'Renewal Rates'!$F$7),IF(A375="Renewal",100%,0%))</f>
        <v>2.6599999999999999E-2</v>
      </c>
      <c r="U375" s="68">
        <f t="shared" si="5"/>
        <v>88272.657535999999</v>
      </c>
      <c r="V375" s="68"/>
    </row>
    <row r="376" spans="1:22" x14ac:dyDescent="0.3">
      <c r="A376" s="41" t="s">
        <v>21</v>
      </c>
      <c r="B376" s="51">
        <v>5.01</v>
      </c>
      <c r="C376" s="58">
        <v>2000685961</v>
      </c>
      <c r="D376" s="86">
        <v>10.38</v>
      </c>
      <c r="E376" s="86"/>
      <c r="F376" s="52">
        <v>450</v>
      </c>
      <c r="G376" s="53">
        <v>975</v>
      </c>
      <c r="H376" s="52" t="s">
        <v>122</v>
      </c>
      <c r="I376" s="45" t="s">
        <v>122</v>
      </c>
      <c r="J376" s="41">
        <v>387</v>
      </c>
      <c r="K376" s="54" t="s">
        <v>23</v>
      </c>
      <c r="L376" s="54" t="s">
        <v>24</v>
      </c>
      <c r="M376" s="57">
        <v>108940</v>
      </c>
      <c r="N376" s="57">
        <v>10497</v>
      </c>
      <c r="O376" s="57">
        <v>37039</v>
      </c>
      <c r="P376" s="57">
        <v>145979</v>
      </c>
      <c r="Q376" s="77">
        <v>0.4</v>
      </c>
      <c r="R376" s="57">
        <v>58392</v>
      </c>
      <c r="S376" s="57">
        <v>204370.71</v>
      </c>
      <c r="T376" s="106">
        <f>IF(A376="Upgrade",IF(OR(H376=4,H376=5),_xlfn.XLOOKUP(I376,'Renewal Rates'!$A$22:$A$27,'Renewal Rates'!$B$22:$B$27,'Renewal Rates'!$B$27,0),'Renewal Rates'!$F$7),IF(A376="Renewal",100%,0%))</f>
        <v>2.6599999999999999E-2</v>
      </c>
      <c r="U376" s="68">
        <f t="shared" si="5"/>
        <v>5436.2608859999991</v>
      </c>
      <c r="V376" s="68"/>
    </row>
    <row r="377" spans="1:22" x14ac:dyDescent="0.3">
      <c r="A377" s="41" t="s">
        <v>21</v>
      </c>
      <c r="B377" s="51">
        <v>5.0019999999999998</v>
      </c>
      <c r="C377" s="58">
        <v>2000742972</v>
      </c>
      <c r="D377" s="86">
        <v>24.54</v>
      </c>
      <c r="E377" s="86"/>
      <c r="F377" s="52">
        <v>300</v>
      </c>
      <c r="G377" s="53">
        <v>900</v>
      </c>
      <c r="H377" s="52" t="s">
        <v>122</v>
      </c>
      <c r="I377" s="45" t="s">
        <v>122</v>
      </c>
      <c r="J377" s="41">
        <v>387</v>
      </c>
      <c r="K377" s="54" t="s">
        <v>23</v>
      </c>
      <c r="L377" s="54" t="s">
        <v>24</v>
      </c>
      <c r="M377" s="57">
        <v>161383</v>
      </c>
      <c r="N377" s="57">
        <v>6575</v>
      </c>
      <c r="O377" s="57">
        <v>54870</v>
      </c>
      <c r="P377" s="57">
        <v>216254</v>
      </c>
      <c r="Q377" s="77">
        <v>0.4</v>
      </c>
      <c r="R377" s="57">
        <v>86501</v>
      </c>
      <c r="S377" s="57">
        <v>302754.94</v>
      </c>
      <c r="T377" s="106">
        <f>IF(A377="Upgrade",IF(OR(H377=4,H377=5),_xlfn.XLOOKUP(I377,'Renewal Rates'!$A$22:$A$27,'Renewal Rates'!$B$22:$B$27,'Renewal Rates'!$B$27,0),'Renewal Rates'!$F$7),IF(A377="Renewal",100%,0%))</f>
        <v>2.6599999999999999E-2</v>
      </c>
      <c r="U377" s="68">
        <f t="shared" si="5"/>
        <v>8053.2814039999994</v>
      </c>
      <c r="V377" s="68"/>
    </row>
    <row r="378" spans="1:22" x14ac:dyDescent="0.3">
      <c r="A378" s="41" t="s">
        <v>21</v>
      </c>
      <c r="B378" s="51">
        <v>6.0039999999999996</v>
      </c>
      <c r="C378" s="58">
        <v>2000242774</v>
      </c>
      <c r="D378" s="86">
        <v>6.23</v>
      </c>
      <c r="E378" s="86"/>
      <c r="F378" s="52">
        <v>300</v>
      </c>
      <c r="G378" s="53">
        <v>750</v>
      </c>
      <c r="H378" s="52" t="s">
        <v>122</v>
      </c>
      <c r="I378" s="45" t="s">
        <v>122</v>
      </c>
      <c r="J378" s="41">
        <v>387</v>
      </c>
      <c r="K378" s="54" t="s">
        <v>23</v>
      </c>
      <c r="L378" s="54" t="s">
        <v>24</v>
      </c>
      <c r="M378" s="57">
        <v>81424</v>
      </c>
      <c r="N378" s="57">
        <v>13060</v>
      </c>
      <c r="O378" s="57">
        <v>27684</v>
      </c>
      <c r="P378" s="57">
        <v>109108</v>
      </c>
      <c r="Q378" s="77">
        <v>0.4</v>
      </c>
      <c r="R378" s="57">
        <v>43643</v>
      </c>
      <c r="S378" s="57">
        <v>152751.12</v>
      </c>
      <c r="T378" s="106">
        <f>IF(A378="Upgrade",IF(OR(H378=4,H378=5),_xlfn.XLOOKUP(I378,'Renewal Rates'!$A$22:$A$27,'Renewal Rates'!$B$22:$B$27,'Renewal Rates'!$B$27,0),'Renewal Rates'!$F$7),IF(A378="Renewal",100%,0%))</f>
        <v>2.6599999999999999E-2</v>
      </c>
      <c r="U378" s="68">
        <f t="shared" si="5"/>
        <v>4063.1797919999995</v>
      </c>
      <c r="V378" s="68"/>
    </row>
    <row r="379" spans="1:22" x14ac:dyDescent="0.3">
      <c r="A379" s="41" t="s">
        <v>21</v>
      </c>
      <c r="B379" s="51">
        <v>3.0489999999999999</v>
      </c>
      <c r="C379" s="58">
        <v>2000180027</v>
      </c>
      <c r="D379" s="86">
        <v>15.04</v>
      </c>
      <c r="E379" s="86"/>
      <c r="F379" s="52">
        <v>225</v>
      </c>
      <c r="G379" s="53">
        <v>1125</v>
      </c>
      <c r="H379" s="52" t="s">
        <v>122</v>
      </c>
      <c r="I379" s="45" t="s">
        <v>122</v>
      </c>
      <c r="J379" s="41">
        <v>386</v>
      </c>
      <c r="K379" s="54" t="s">
        <v>23</v>
      </c>
      <c r="L379" s="54" t="s">
        <v>24</v>
      </c>
      <c r="M379" s="57">
        <v>144400</v>
      </c>
      <c r="N379" s="57">
        <v>9598</v>
      </c>
      <c r="O379" s="57">
        <v>49096</v>
      </c>
      <c r="P379" s="57">
        <v>193496</v>
      </c>
      <c r="Q379" s="77">
        <v>0.4</v>
      </c>
      <c r="R379" s="57">
        <v>77398</v>
      </c>
      <c r="S379" s="57">
        <v>270894.59999999998</v>
      </c>
      <c r="T379" s="106">
        <f>IF(A379="Upgrade",IF(OR(H379=4,H379=5),_xlfn.XLOOKUP(I379,'Renewal Rates'!$A$22:$A$27,'Renewal Rates'!$B$22:$B$27,'Renewal Rates'!$B$27,0),'Renewal Rates'!$F$7),IF(A379="Renewal",100%,0%))</f>
        <v>2.6599999999999999E-2</v>
      </c>
      <c r="U379" s="68">
        <f t="shared" si="5"/>
        <v>7205.7963599999994</v>
      </c>
      <c r="V379" s="68"/>
    </row>
    <row r="380" spans="1:22" x14ac:dyDescent="0.3">
      <c r="A380" s="41" t="s">
        <v>21</v>
      </c>
      <c r="B380" s="51">
        <v>4.01</v>
      </c>
      <c r="C380" s="58">
        <v>2000051820</v>
      </c>
      <c r="D380" s="86">
        <v>7.25</v>
      </c>
      <c r="E380" s="86"/>
      <c r="F380" s="52">
        <v>600</v>
      </c>
      <c r="G380" s="53">
        <v>825</v>
      </c>
      <c r="H380" s="52">
        <v>4</v>
      </c>
      <c r="I380" s="45">
        <v>2</v>
      </c>
      <c r="J380" s="41">
        <v>386</v>
      </c>
      <c r="K380" s="54" t="s">
        <v>23</v>
      </c>
      <c r="L380" s="54" t="s">
        <v>24</v>
      </c>
      <c r="M380" s="57">
        <v>83528</v>
      </c>
      <c r="N380" s="57">
        <v>11522</v>
      </c>
      <c r="O380" s="57">
        <v>28400</v>
      </c>
      <c r="P380" s="57">
        <v>111928</v>
      </c>
      <c r="Q380" s="77">
        <v>0.4</v>
      </c>
      <c r="R380" s="57">
        <v>44771</v>
      </c>
      <c r="S380" s="57">
        <v>156699.12</v>
      </c>
      <c r="T380" s="106">
        <f>IF(A380="Upgrade",IF(OR(H380=4,H380=5),_xlfn.XLOOKUP(I380,'Renewal Rates'!$A$22:$A$27,'Renewal Rates'!$B$22:$B$27,'Renewal Rates'!$B$27,0),'Renewal Rates'!$F$7),IF(A380="Renewal",100%,0%))</f>
        <v>0</v>
      </c>
      <c r="U380" s="68">
        <f t="shared" si="5"/>
        <v>0</v>
      </c>
      <c r="V380" s="68"/>
    </row>
    <row r="381" spans="1:22" x14ac:dyDescent="0.3">
      <c r="A381" s="41" t="s">
        <v>21</v>
      </c>
      <c r="B381" s="51">
        <v>3.0379999999999998</v>
      </c>
      <c r="C381" s="58">
        <v>2000188334</v>
      </c>
      <c r="D381" s="86">
        <v>11.05</v>
      </c>
      <c r="E381" s="86"/>
      <c r="F381" s="52">
        <v>300</v>
      </c>
      <c r="G381" s="53">
        <v>975</v>
      </c>
      <c r="H381" s="52" t="s">
        <v>122</v>
      </c>
      <c r="I381" s="45" t="s">
        <v>122</v>
      </c>
      <c r="J381" s="41">
        <v>386</v>
      </c>
      <c r="K381" s="54" t="s">
        <v>23</v>
      </c>
      <c r="L381" s="54" t="s">
        <v>24</v>
      </c>
      <c r="M381" s="57">
        <v>110191</v>
      </c>
      <c r="N381" s="57">
        <v>9970</v>
      </c>
      <c r="O381" s="57">
        <v>37465</v>
      </c>
      <c r="P381" s="57">
        <v>147656</v>
      </c>
      <c r="Q381" s="77">
        <v>0.4</v>
      </c>
      <c r="R381" s="57">
        <v>59062</v>
      </c>
      <c r="S381" s="57">
        <v>206718.14</v>
      </c>
      <c r="T381" s="106">
        <f>IF(A381="Upgrade",IF(OR(H381=4,H381=5),_xlfn.XLOOKUP(I381,'Renewal Rates'!$A$22:$A$27,'Renewal Rates'!$B$22:$B$27,'Renewal Rates'!$B$27,0),'Renewal Rates'!$F$7),IF(A381="Renewal",100%,0%))</f>
        <v>2.6599999999999999E-2</v>
      </c>
      <c r="U381" s="68">
        <f t="shared" si="5"/>
        <v>5498.7025240000003</v>
      </c>
      <c r="V381" s="68"/>
    </row>
    <row r="382" spans="1:22" x14ac:dyDescent="0.3">
      <c r="A382" s="41" t="s">
        <v>21</v>
      </c>
      <c r="B382" s="51">
        <v>4.0140000000000002</v>
      </c>
      <c r="C382" s="58">
        <v>2000246659</v>
      </c>
      <c r="D382" s="86">
        <v>24.51</v>
      </c>
      <c r="E382" s="86"/>
      <c r="F382" s="52">
        <v>1200</v>
      </c>
      <c r="G382" s="53">
        <v>1275</v>
      </c>
      <c r="H382" s="52" t="s">
        <v>122</v>
      </c>
      <c r="I382" s="45" t="s">
        <v>122</v>
      </c>
      <c r="J382" s="41">
        <v>386</v>
      </c>
      <c r="K382" s="54" t="s">
        <v>23</v>
      </c>
      <c r="L382" s="54" t="s">
        <v>24</v>
      </c>
      <c r="M382" s="57">
        <v>178912</v>
      </c>
      <c r="N382" s="57">
        <v>7298</v>
      </c>
      <c r="O382" s="57">
        <v>60830</v>
      </c>
      <c r="P382" s="57">
        <v>239742</v>
      </c>
      <c r="Q382" s="77">
        <v>0.4</v>
      </c>
      <c r="R382" s="57">
        <v>95897</v>
      </c>
      <c r="S382" s="57">
        <v>335639.17</v>
      </c>
      <c r="T382" s="106">
        <f>IF(A382="Upgrade",IF(OR(H382=4,H382=5),_xlfn.XLOOKUP(I382,'Renewal Rates'!$A$22:$A$27,'Renewal Rates'!$B$22:$B$27,'Renewal Rates'!$B$27,0),'Renewal Rates'!$F$7),IF(A382="Renewal",100%,0%))</f>
        <v>2.6599999999999999E-2</v>
      </c>
      <c r="U382" s="68">
        <f t="shared" si="5"/>
        <v>8928.0019219999995</v>
      </c>
      <c r="V382" s="68"/>
    </row>
    <row r="383" spans="1:22" x14ac:dyDescent="0.3">
      <c r="A383" s="41" t="s">
        <v>21</v>
      </c>
      <c r="B383" s="51">
        <v>2.0529999999999999</v>
      </c>
      <c r="C383" s="58">
        <v>2000049586</v>
      </c>
      <c r="D383" s="86">
        <v>37.58</v>
      </c>
      <c r="E383" s="86"/>
      <c r="F383" s="52">
        <v>300</v>
      </c>
      <c r="G383" s="53">
        <v>900</v>
      </c>
      <c r="H383" s="52" t="s">
        <v>122</v>
      </c>
      <c r="I383" s="45" t="s">
        <v>122</v>
      </c>
      <c r="J383" s="41">
        <v>386</v>
      </c>
      <c r="K383" s="54" t="s">
        <v>23</v>
      </c>
      <c r="L383" s="54" t="s">
        <v>24</v>
      </c>
      <c r="M383" s="57">
        <v>205938</v>
      </c>
      <c r="N383" s="57">
        <v>5493</v>
      </c>
      <c r="O383" s="57">
        <v>70019</v>
      </c>
      <c r="P383" s="57">
        <v>275957</v>
      </c>
      <c r="Q383" s="77">
        <v>0.4</v>
      </c>
      <c r="R383" s="57">
        <v>110383</v>
      </c>
      <c r="S383" s="57">
        <v>386340.14</v>
      </c>
      <c r="T383" s="106">
        <f>IF(A383="Upgrade",IF(OR(H383=4,H383=5),_xlfn.XLOOKUP(I383,'Renewal Rates'!$A$22:$A$27,'Renewal Rates'!$B$22:$B$27,'Renewal Rates'!$B$27,0),'Renewal Rates'!$F$7),IF(A383="Renewal",100%,0%))</f>
        <v>2.6599999999999999E-2</v>
      </c>
      <c r="U383" s="68">
        <f t="shared" si="5"/>
        <v>10276.647724</v>
      </c>
      <c r="V383" s="68"/>
    </row>
    <row r="384" spans="1:22" x14ac:dyDescent="0.3">
      <c r="A384" s="41" t="s">
        <v>21</v>
      </c>
      <c r="B384" s="51">
        <v>1.018</v>
      </c>
      <c r="C384" s="58">
        <v>3000056030</v>
      </c>
      <c r="D384" s="86">
        <v>18.77</v>
      </c>
      <c r="E384" s="86"/>
      <c r="F384" s="52">
        <v>300</v>
      </c>
      <c r="G384" s="53">
        <v>600</v>
      </c>
      <c r="H384" s="52" t="s">
        <v>122</v>
      </c>
      <c r="I384" s="45" t="s">
        <v>122</v>
      </c>
      <c r="J384" s="41">
        <v>385</v>
      </c>
      <c r="K384" s="54" t="s">
        <v>23</v>
      </c>
      <c r="L384" s="54" t="s">
        <v>24</v>
      </c>
      <c r="M384" s="57">
        <v>82312</v>
      </c>
      <c r="N384" s="57">
        <v>4385</v>
      </c>
      <c r="O384" s="57">
        <v>27986</v>
      </c>
      <c r="P384" s="57">
        <v>110298</v>
      </c>
      <c r="Q384" s="77">
        <v>0.4</v>
      </c>
      <c r="R384" s="57">
        <v>44119</v>
      </c>
      <c r="S384" s="57">
        <v>154417.34</v>
      </c>
      <c r="T384" s="106">
        <f>IF(A384="Upgrade",IF(OR(H384=4,H384=5),_xlfn.XLOOKUP(I384,'Renewal Rates'!$A$22:$A$27,'Renewal Rates'!$B$22:$B$27,'Renewal Rates'!$B$27,0),'Renewal Rates'!$F$7),IF(A384="Renewal",100%,0%))</f>
        <v>2.6599999999999999E-2</v>
      </c>
      <c r="U384" s="68">
        <f t="shared" si="5"/>
        <v>4107.501244</v>
      </c>
      <c r="V384" s="68"/>
    </row>
    <row r="385" spans="1:22" x14ac:dyDescent="0.3">
      <c r="A385" s="41" t="s">
        <v>21</v>
      </c>
      <c r="B385" s="51">
        <v>1.0129999999999999</v>
      </c>
      <c r="C385" s="58">
        <v>2000498982</v>
      </c>
      <c r="D385" s="86">
        <v>22.72</v>
      </c>
      <c r="E385" s="86"/>
      <c r="F385" s="52">
        <v>600</v>
      </c>
      <c r="G385" s="53">
        <v>1050</v>
      </c>
      <c r="H385" s="52" t="s">
        <v>122</v>
      </c>
      <c r="I385" s="45" t="s">
        <v>122</v>
      </c>
      <c r="J385" s="41">
        <v>385</v>
      </c>
      <c r="K385" s="54" t="s">
        <v>23</v>
      </c>
      <c r="L385" s="54" t="s">
        <v>24</v>
      </c>
      <c r="M385" s="57">
        <v>180556</v>
      </c>
      <c r="N385" s="57">
        <v>7945</v>
      </c>
      <c r="O385" s="57">
        <v>61389</v>
      </c>
      <c r="P385" s="57">
        <v>241945</v>
      </c>
      <c r="Q385" s="77">
        <v>0.4</v>
      </c>
      <c r="R385" s="57">
        <v>96778</v>
      </c>
      <c r="S385" s="57">
        <v>338722.68</v>
      </c>
      <c r="T385" s="106">
        <f>IF(A385="Upgrade",IF(OR(H385=4,H385=5),_xlfn.XLOOKUP(I385,'Renewal Rates'!$A$22:$A$27,'Renewal Rates'!$B$22:$B$27,'Renewal Rates'!$B$27,0),'Renewal Rates'!$F$7),IF(A385="Renewal",100%,0%))</f>
        <v>2.6599999999999999E-2</v>
      </c>
      <c r="U385" s="68">
        <f t="shared" si="5"/>
        <v>9010.0232879999985</v>
      </c>
      <c r="V385" s="68"/>
    </row>
    <row r="386" spans="1:22" x14ac:dyDescent="0.3">
      <c r="A386" s="41" t="s">
        <v>21</v>
      </c>
      <c r="B386" s="51">
        <v>3.044</v>
      </c>
      <c r="C386" s="58">
        <v>2000097457</v>
      </c>
      <c r="D386" s="86">
        <v>57.531438999999999</v>
      </c>
      <c r="E386" s="86"/>
      <c r="F386" s="52">
        <v>225</v>
      </c>
      <c r="G386" s="53">
        <v>825</v>
      </c>
      <c r="H386" s="52" t="s">
        <v>122</v>
      </c>
      <c r="I386" s="45" t="s">
        <v>122</v>
      </c>
      <c r="J386" s="41">
        <v>387</v>
      </c>
      <c r="K386" s="54" t="s">
        <v>23</v>
      </c>
      <c r="L386" s="54" t="s">
        <v>24</v>
      </c>
      <c r="M386" s="57">
        <v>277409</v>
      </c>
      <c r="N386" s="57">
        <v>4822</v>
      </c>
      <c r="O386" s="57">
        <v>94319</v>
      </c>
      <c r="P386" s="57">
        <v>371728</v>
      </c>
      <c r="Q386" s="77">
        <v>0.4</v>
      </c>
      <c r="R386" s="57">
        <v>148691</v>
      </c>
      <c r="S386" s="57">
        <v>520418.81</v>
      </c>
      <c r="T386" s="106">
        <f>IF(A386="Upgrade",IF(OR(H386=4,H386=5),_xlfn.XLOOKUP(I386,'Renewal Rates'!$A$22:$A$27,'Renewal Rates'!$B$22:$B$27,'Renewal Rates'!$B$27,0),'Renewal Rates'!$F$7),IF(A386="Renewal",100%,0%))</f>
        <v>2.6599999999999999E-2</v>
      </c>
      <c r="U386" s="68">
        <f t="shared" si="5"/>
        <v>13843.140346</v>
      </c>
      <c r="V386" s="68"/>
    </row>
    <row r="387" spans="1:22" x14ac:dyDescent="0.3">
      <c r="A387" s="41" t="s">
        <v>21</v>
      </c>
      <c r="B387" s="51">
        <v>1.0209999999999999</v>
      </c>
      <c r="C387" s="58">
        <v>2000242054</v>
      </c>
      <c r="D387" s="86">
        <v>57.7</v>
      </c>
      <c r="E387" s="86"/>
      <c r="F387" s="52">
        <v>450</v>
      </c>
      <c r="G387" s="53">
        <v>1050</v>
      </c>
      <c r="H387" s="52" t="s">
        <v>122</v>
      </c>
      <c r="I387" s="45" t="s">
        <v>122</v>
      </c>
      <c r="J387" s="41">
        <v>385</v>
      </c>
      <c r="K387" s="54" t="s">
        <v>23</v>
      </c>
      <c r="L387" s="54" t="s">
        <v>24</v>
      </c>
      <c r="M387" s="57">
        <v>402929</v>
      </c>
      <c r="N387" s="57">
        <v>6985</v>
      </c>
      <c r="O387" s="57">
        <v>136996</v>
      </c>
      <c r="P387" s="57">
        <v>539925</v>
      </c>
      <c r="Q387" s="77">
        <v>0.4</v>
      </c>
      <c r="R387" s="57">
        <v>215970</v>
      </c>
      <c r="S387" s="57">
        <v>755894.38</v>
      </c>
      <c r="T387" s="106">
        <f>IF(A387="Upgrade",IF(OR(H387=4,H387=5),_xlfn.XLOOKUP(I387,'Renewal Rates'!$A$22:$A$27,'Renewal Rates'!$B$22:$B$27,'Renewal Rates'!$B$27,0),'Renewal Rates'!$F$7),IF(A387="Renewal",100%,0%))</f>
        <v>2.6599999999999999E-2</v>
      </c>
      <c r="U387" s="68">
        <f t="shared" si="5"/>
        <v>20106.790507999998</v>
      </c>
      <c r="V387" s="68"/>
    </row>
    <row r="388" spans="1:22" x14ac:dyDescent="0.3">
      <c r="A388" s="41" t="s">
        <v>21</v>
      </c>
      <c r="B388" s="51">
        <v>3.0489999999999999</v>
      </c>
      <c r="C388" s="58">
        <v>2000427348</v>
      </c>
      <c r="D388" s="86">
        <v>54.19</v>
      </c>
      <c r="E388" s="86"/>
      <c r="F388" s="52">
        <v>225</v>
      </c>
      <c r="G388" s="53">
        <v>1125</v>
      </c>
      <c r="H388" s="52" t="s">
        <v>122</v>
      </c>
      <c r="I388" s="45" t="s">
        <v>122</v>
      </c>
      <c r="J388" s="41">
        <v>386</v>
      </c>
      <c r="K388" s="54" t="s">
        <v>23</v>
      </c>
      <c r="L388" s="54" t="s">
        <v>24</v>
      </c>
      <c r="M388" s="57">
        <v>404050</v>
      </c>
      <c r="N388" s="57">
        <v>7456</v>
      </c>
      <c r="O388" s="57">
        <v>137377</v>
      </c>
      <c r="P388" s="57">
        <v>541427</v>
      </c>
      <c r="Q388" s="77">
        <v>0.4</v>
      </c>
      <c r="R388" s="57">
        <v>216571</v>
      </c>
      <c r="S388" s="57">
        <v>757997.42</v>
      </c>
      <c r="T388" s="106">
        <f>IF(A388="Upgrade",IF(OR(H388=4,H388=5),_xlfn.XLOOKUP(I388,'Renewal Rates'!$A$22:$A$27,'Renewal Rates'!$B$22:$B$27,'Renewal Rates'!$B$27,0),'Renewal Rates'!$F$7),IF(A388="Renewal",100%,0%))</f>
        <v>2.6599999999999999E-2</v>
      </c>
      <c r="U388" s="68">
        <f t="shared" ref="U388:U451" si="6">S388*T388</f>
        <v>20162.731371999998</v>
      </c>
      <c r="V388" s="68"/>
    </row>
    <row r="389" spans="1:22" x14ac:dyDescent="0.3">
      <c r="A389" s="41" t="s">
        <v>21</v>
      </c>
      <c r="B389" s="51">
        <v>4.008</v>
      </c>
      <c r="C389" s="58">
        <v>2000791152</v>
      </c>
      <c r="D389" s="86">
        <v>18.2</v>
      </c>
      <c r="E389" s="86"/>
      <c r="F389" s="52">
        <v>300</v>
      </c>
      <c r="G389" s="53">
        <v>975</v>
      </c>
      <c r="H389" s="52" t="s">
        <v>122</v>
      </c>
      <c r="I389" s="45" t="s">
        <v>122</v>
      </c>
      <c r="J389" s="41">
        <v>386</v>
      </c>
      <c r="K389" s="54" t="s">
        <v>23</v>
      </c>
      <c r="L389" s="54" t="s">
        <v>24</v>
      </c>
      <c r="M389" s="57">
        <v>143873</v>
      </c>
      <c r="N389" s="57">
        <v>8474</v>
      </c>
      <c r="O389" s="57">
        <v>48917</v>
      </c>
      <c r="P389" s="57">
        <v>192790</v>
      </c>
      <c r="Q389" s="77">
        <v>0.4</v>
      </c>
      <c r="R389" s="57">
        <v>77116</v>
      </c>
      <c r="S389" s="57">
        <v>269905.34000000003</v>
      </c>
      <c r="T389" s="106">
        <f>IF(A389="Upgrade",IF(OR(H389=4,H389=5),_xlfn.XLOOKUP(I389,'Renewal Rates'!$A$22:$A$27,'Renewal Rates'!$B$22:$B$27,'Renewal Rates'!$B$27,0),'Renewal Rates'!$F$7),IF(A389="Renewal",100%,0%))</f>
        <v>2.6599999999999999E-2</v>
      </c>
      <c r="U389" s="68">
        <f t="shared" si="6"/>
        <v>7179.4820440000003</v>
      </c>
      <c r="V389" s="68"/>
    </row>
    <row r="390" spans="1:22" x14ac:dyDescent="0.3">
      <c r="A390" s="41" t="s">
        <v>21</v>
      </c>
      <c r="B390" s="51">
        <v>1.0109999999999999</v>
      </c>
      <c r="C390" s="58">
        <v>2000884052</v>
      </c>
      <c r="D390" s="86">
        <v>31.62</v>
      </c>
      <c r="E390" s="86"/>
      <c r="F390" s="52">
        <v>450</v>
      </c>
      <c r="G390" s="53">
        <v>825</v>
      </c>
      <c r="H390" s="52" t="s">
        <v>122</v>
      </c>
      <c r="I390" s="45" t="s">
        <v>122</v>
      </c>
      <c r="J390" s="41">
        <v>385</v>
      </c>
      <c r="K390" s="54" t="s">
        <v>23</v>
      </c>
      <c r="L390" s="54" t="s">
        <v>24</v>
      </c>
      <c r="M390" s="57">
        <v>155579</v>
      </c>
      <c r="N390" s="57">
        <v>4920</v>
      </c>
      <c r="O390" s="57">
        <v>52897</v>
      </c>
      <c r="P390" s="57">
        <v>208476</v>
      </c>
      <c r="Q390" s="77">
        <v>0.4</v>
      </c>
      <c r="R390" s="57">
        <v>83390</v>
      </c>
      <c r="S390" s="57">
        <v>291866.39</v>
      </c>
      <c r="T390" s="106">
        <f>IF(A390="Upgrade",IF(OR(H390=4,H390=5),_xlfn.XLOOKUP(I390,'Renewal Rates'!$A$22:$A$27,'Renewal Rates'!$B$22:$B$27,'Renewal Rates'!$B$27,0),'Renewal Rates'!$F$7),IF(A390="Renewal",100%,0%))</f>
        <v>2.6599999999999999E-2</v>
      </c>
      <c r="U390" s="68">
        <f t="shared" si="6"/>
        <v>7763.645974</v>
      </c>
      <c r="V390" s="68"/>
    </row>
    <row r="391" spans="1:22" x14ac:dyDescent="0.3">
      <c r="A391" s="41" t="s">
        <v>21</v>
      </c>
      <c r="B391" s="51">
        <v>3.0630000000000002</v>
      </c>
      <c r="C391" s="58">
        <v>2000601981</v>
      </c>
      <c r="D391" s="86">
        <v>46.89</v>
      </c>
      <c r="E391" s="86"/>
      <c r="F391" s="52">
        <v>375</v>
      </c>
      <c r="G391" s="53">
        <v>750</v>
      </c>
      <c r="H391" s="52">
        <v>4</v>
      </c>
      <c r="I391" s="45">
        <v>4</v>
      </c>
      <c r="J391" s="41">
        <v>386</v>
      </c>
      <c r="K391" s="54" t="s">
        <v>23</v>
      </c>
      <c r="L391" s="54" t="s">
        <v>24</v>
      </c>
      <c r="M391" s="57">
        <v>191054</v>
      </c>
      <c r="N391" s="57">
        <v>4075</v>
      </c>
      <c r="O391" s="57">
        <v>64958</v>
      </c>
      <c r="P391" s="57">
        <v>256012</v>
      </c>
      <c r="Q391" s="77">
        <v>0.4</v>
      </c>
      <c r="R391" s="57">
        <v>102405</v>
      </c>
      <c r="S391" s="57">
        <v>358416.54</v>
      </c>
      <c r="T391" s="106">
        <f>IF(A391="Upgrade",IF(OR(H391=4,H391=5),_xlfn.XLOOKUP(I391,'Renewal Rates'!$A$22:$A$27,'Renewal Rates'!$B$22:$B$27,'Renewal Rates'!$B$27,0),'Renewal Rates'!$F$7),IF(A391="Renewal",100%,0%))</f>
        <v>0.7</v>
      </c>
      <c r="U391" s="68">
        <f t="shared" si="6"/>
        <v>250891.57799999998</v>
      </c>
      <c r="V391" s="68"/>
    </row>
    <row r="392" spans="1:22" x14ac:dyDescent="0.3">
      <c r="A392" s="41" t="s">
        <v>21</v>
      </c>
      <c r="B392" s="51">
        <v>12.013999999999999</v>
      </c>
      <c r="C392" s="58">
        <v>2000021304</v>
      </c>
      <c r="D392" s="86">
        <v>47.61</v>
      </c>
      <c r="E392" s="86"/>
      <c r="F392" s="52">
        <v>225</v>
      </c>
      <c r="G392" s="53">
        <v>825</v>
      </c>
      <c r="H392" s="52" t="s">
        <v>122</v>
      </c>
      <c r="I392" s="45" t="s">
        <v>122</v>
      </c>
      <c r="J392" s="41">
        <v>377</v>
      </c>
      <c r="K392" s="54" t="s">
        <v>23</v>
      </c>
      <c r="L392" s="54" t="s">
        <v>24</v>
      </c>
      <c r="M392" s="57">
        <v>218825</v>
      </c>
      <c r="N392" s="57">
        <v>4596</v>
      </c>
      <c r="O392" s="57">
        <v>74401</v>
      </c>
      <c r="P392" s="57">
        <v>293226</v>
      </c>
      <c r="Q392" s="77">
        <v>0.4</v>
      </c>
      <c r="R392" s="57">
        <v>117290</v>
      </c>
      <c r="S392" s="57">
        <v>410516.1</v>
      </c>
      <c r="T392" s="106">
        <f>IF(A392="Upgrade",IF(OR(H392=4,H392=5),_xlfn.XLOOKUP(I392,'Renewal Rates'!$A$22:$A$27,'Renewal Rates'!$B$22:$B$27,'Renewal Rates'!$B$27,0),'Renewal Rates'!$F$7),IF(A392="Renewal",100%,0%))</f>
        <v>2.6599999999999999E-2</v>
      </c>
      <c r="U392" s="68">
        <f t="shared" si="6"/>
        <v>10919.728259999998</v>
      </c>
      <c r="V392" s="68"/>
    </row>
    <row r="393" spans="1:22" x14ac:dyDescent="0.3">
      <c r="A393" s="41" t="s">
        <v>21</v>
      </c>
      <c r="B393" s="51">
        <v>12.018000000000001</v>
      </c>
      <c r="C393" s="58">
        <v>2000759958</v>
      </c>
      <c r="D393" s="86">
        <v>19.04</v>
      </c>
      <c r="E393" s="86"/>
      <c r="F393" s="52">
        <v>525</v>
      </c>
      <c r="G393" s="53">
        <v>600</v>
      </c>
      <c r="H393" s="52" t="s">
        <v>122</v>
      </c>
      <c r="I393" s="45" t="s">
        <v>122</v>
      </c>
      <c r="J393" s="41">
        <v>377</v>
      </c>
      <c r="K393" s="54" t="s">
        <v>23</v>
      </c>
      <c r="L393" s="54" t="s">
        <v>24</v>
      </c>
      <c r="M393" s="57">
        <v>82585</v>
      </c>
      <c r="N393" s="57">
        <v>4338</v>
      </c>
      <c r="O393" s="57">
        <v>28079</v>
      </c>
      <c r="P393" s="57">
        <v>110664</v>
      </c>
      <c r="Q393" s="77">
        <v>0.4</v>
      </c>
      <c r="R393" s="57">
        <v>44265</v>
      </c>
      <c r="S393" s="57">
        <v>154929.06</v>
      </c>
      <c r="T393" s="106">
        <f>IF(A393="Upgrade",IF(OR(H393=4,H393=5),_xlfn.XLOOKUP(I393,'Renewal Rates'!$A$22:$A$27,'Renewal Rates'!$B$22:$B$27,'Renewal Rates'!$B$27,0),'Renewal Rates'!$F$7),IF(A393="Renewal",100%,0%))</f>
        <v>2.6599999999999999E-2</v>
      </c>
      <c r="U393" s="68">
        <f t="shared" si="6"/>
        <v>4121.1129959999998</v>
      </c>
      <c r="V393" s="68"/>
    </row>
    <row r="394" spans="1:22" x14ac:dyDescent="0.3">
      <c r="A394" s="41" t="s">
        <v>21</v>
      </c>
      <c r="B394" s="51">
        <v>3.0489999999999999</v>
      </c>
      <c r="C394" s="58">
        <v>2000087594</v>
      </c>
      <c r="D394" s="86">
        <v>22.48</v>
      </c>
      <c r="E394" s="86"/>
      <c r="F394" s="52">
        <v>225</v>
      </c>
      <c r="G394" s="53">
        <v>1125</v>
      </c>
      <c r="H394" s="52" t="s">
        <v>122</v>
      </c>
      <c r="I394" s="45" t="s">
        <v>122</v>
      </c>
      <c r="J394" s="41">
        <v>386</v>
      </c>
      <c r="K394" s="54" t="s">
        <v>23</v>
      </c>
      <c r="L394" s="54" t="s">
        <v>24</v>
      </c>
      <c r="M394" s="57">
        <v>183384</v>
      </c>
      <c r="N394" s="57">
        <v>8156</v>
      </c>
      <c r="O394" s="57">
        <v>62351</v>
      </c>
      <c r="P394" s="57">
        <v>245735</v>
      </c>
      <c r="Q394" s="77">
        <v>0.4</v>
      </c>
      <c r="R394" s="57">
        <v>98294</v>
      </c>
      <c r="S394" s="57">
        <v>344028.96</v>
      </c>
      <c r="T394" s="106">
        <f>IF(A394="Upgrade",IF(OR(H394=4,H394=5),_xlfn.XLOOKUP(I394,'Renewal Rates'!$A$22:$A$27,'Renewal Rates'!$B$22:$B$27,'Renewal Rates'!$B$27,0),'Renewal Rates'!$F$7),IF(A394="Renewal",100%,0%))</f>
        <v>2.6599999999999999E-2</v>
      </c>
      <c r="U394" s="68">
        <f t="shared" si="6"/>
        <v>9151.1703359999992</v>
      </c>
      <c r="V394" s="68"/>
    </row>
    <row r="395" spans="1:22" x14ac:dyDescent="0.3">
      <c r="A395" s="41" t="s">
        <v>21</v>
      </c>
      <c r="B395" s="51">
        <v>3.044</v>
      </c>
      <c r="C395" s="58">
        <v>2000679713</v>
      </c>
      <c r="D395" s="86">
        <v>15.61</v>
      </c>
      <c r="E395" s="86"/>
      <c r="F395" s="52">
        <v>225</v>
      </c>
      <c r="G395" s="53">
        <v>825</v>
      </c>
      <c r="H395" s="52" t="s">
        <v>122</v>
      </c>
      <c r="I395" s="45" t="s">
        <v>122</v>
      </c>
      <c r="J395" s="41">
        <v>387</v>
      </c>
      <c r="K395" s="54" t="s">
        <v>23</v>
      </c>
      <c r="L395" s="54" t="s">
        <v>24</v>
      </c>
      <c r="M395" s="57">
        <v>88321</v>
      </c>
      <c r="N395" s="57">
        <v>5657</v>
      </c>
      <c r="O395" s="57">
        <v>30029</v>
      </c>
      <c r="P395" s="57">
        <v>118350</v>
      </c>
      <c r="Q395" s="77">
        <v>0.4</v>
      </c>
      <c r="R395" s="57">
        <v>47340</v>
      </c>
      <c r="S395" s="57">
        <v>165690.34</v>
      </c>
      <c r="T395" s="106">
        <f>IF(A395="Upgrade",IF(OR(H395=4,H395=5),_xlfn.XLOOKUP(I395,'Renewal Rates'!$A$22:$A$27,'Renewal Rates'!$B$22:$B$27,'Renewal Rates'!$B$27,0),'Renewal Rates'!$F$7),IF(A395="Renewal",100%,0%))</f>
        <v>2.6599999999999999E-2</v>
      </c>
      <c r="U395" s="68">
        <f t="shared" si="6"/>
        <v>4407.3630439999997</v>
      </c>
      <c r="V395" s="68"/>
    </row>
    <row r="396" spans="1:22" x14ac:dyDescent="0.3">
      <c r="A396" s="41" t="s">
        <v>21</v>
      </c>
      <c r="B396" s="51">
        <v>3.0529999999999999</v>
      </c>
      <c r="C396" s="58">
        <v>2000301059</v>
      </c>
      <c r="D396" s="86">
        <v>5.79</v>
      </c>
      <c r="E396" s="86"/>
      <c r="F396" s="52">
        <v>225</v>
      </c>
      <c r="G396" s="53">
        <v>750</v>
      </c>
      <c r="H396" s="52" t="s">
        <v>122</v>
      </c>
      <c r="I396" s="45" t="s">
        <v>122</v>
      </c>
      <c r="J396" s="41">
        <v>386</v>
      </c>
      <c r="K396" s="54" t="s">
        <v>23</v>
      </c>
      <c r="L396" s="54" t="s">
        <v>24</v>
      </c>
      <c r="M396" s="57">
        <v>57413</v>
      </c>
      <c r="N396" s="57">
        <v>9924</v>
      </c>
      <c r="O396" s="57">
        <v>19520</v>
      </c>
      <c r="P396" s="57">
        <v>76933</v>
      </c>
      <c r="Q396" s="77">
        <v>0.4</v>
      </c>
      <c r="R396" s="57">
        <v>30773</v>
      </c>
      <c r="S396" s="57">
        <v>107706.88</v>
      </c>
      <c r="T396" s="106">
        <f>IF(A396="Upgrade",IF(OR(H396=4,H396=5),_xlfn.XLOOKUP(I396,'Renewal Rates'!$A$22:$A$27,'Renewal Rates'!$B$22:$B$27,'Renewal Rates'!$B$27,0),'Renewal Rates'!$F$7),IF(A396="Renewal",100%,0%))</f>
        <v>2.6599999999999999E-2</v>
      </c>
      <c r="U396" s="68">
        <f t="shared" si="6"/>
        <v>2865.0030080000001</v>
      </c>
      <c r="V396" s="68"/>
    </row>
    <row r="397" spans="1:22" x14ac:dyDescent="0.3">
      <c r="A397" s="41" t="s">
        <v>21</v>
      </c>
      <c r="B397" s="51">
        <v>3.0539999999999998</v>
      </c>
      <c r="C397" s="58">
        <v>2000562656</v>
      </c>
      <c r="D397" s="86">
        <v>56.55</v>
      </c>
      <c r="E397" s="86"/>
      <c r="F397" s="52">
        <v>525</v>
      </c>
      <c r="G397" s="53">
        <v>600</v>
      </c>
      <c r="H397" s="52">
        <v>4</v>
      </c>
      <c r="I397" s="45">
        <v>2</v>
      </c>
      <c r="J397" s="41">
        <v>385</v>
      </c>
      <c r="K397" s="54" t="s">
        <v>23</v>
      </c>
      <c r="L397" s="54" t="s">
        <v>24</v>
      </c>
      <c r="M397" s="57">
        <v>198103</v>
      </c>
      <c r="N397" s="57">
        <v>3503</v>
      </c>
      <c r="O397" s="57">
        <v>67355</v>
      </c>
      <c r="P397" s="57">
        <v>265459</v>
      </c>
      <c r="Q397" s="77">
        <v>0.4</v>
      </c>
      <c r="R397" s="57">
        <v>106183</v>
      </c>
      <c r="S397" s="57">
        <v>371641.95</v>
      </c>
      <c r="T397" s="106">
        <f>IF(A397="Upgrade",IF(OR(H397=4,H397=5),_xlfn.XLOOKUP(I397,'Renewal Rates'!$A$22:$A$27,'Renewal Rates'!$B$22:$B$27,'Renewal Rates'!$B$27,0),'Renewal Rates'!$F$7),IF(A397="Renewal",100%,0%))</f>
        <v>0</v>
      </c>
      <c r="U397" s="68">
        <f t="shared" si="6"/>
        <v>0</v>
      </c>
      <c r="V397" s="68"/>
    </row>
    <row r="398" spans="1:22" x14ac:dyDescent="0.3">
      <c r="A398" s="41" t="s">
        <v>21</v>
      </c>
      <c r="B398" s="51">
        <v>5.0049999999999999</v>
      </c>
      <c r="C398" s="58">
        <v>2000369495</v>
      </c>
      <c r="D398" s="86">
        <v>4.28</v>
      </c>
      <c r="E398" s="86"/>
      <c r="F398" s="52">
        <v>450</v>
      </c>
      <c r="G398" s="53">
        <v>825</v>
      </c>
      <c r="H398" s="52" t="s">
        <v>122</v>
      </c>
      <c r="I398" s="45" t="s">
        <v>122</v>
      </c>
      <c r="J398" s="41">
        <v>387</v>
      </c>
      <c r="K398" s="54" t="s">
        <v>23</v>
      </c>
      <c r="L398" s="54" t="s">
        <v>24</v>
      </c>
      <c r="M398" s="57">
        <v>55604</v>
      </c>
      <c r="N398" s="57">
        <v>12990</v>
      </c>
      <c r="O398" s="57">
        <v>18905</v>
      </c>
      <c r="P398" s="57">
        <v>74509</v>
      </c>
      <c r="Q398" s="77">
        <v>0.4</v>
      </c>
      <c r="R398" s="57">
        <v>29804</v>
      </c>
      <c r="S398" s="57">
        <v>104312.66</v>
      </c>
      <c r="T398" s="106">
        <f>IF(A398="Upgrade",IF(OR(H398=4,H398=5),_xlfn.XLOOKUP(I398,'Renewal Rates'!$A$22:$A$27,'Renewal Rates'!$B$22:$B$27,'Renewal Rates'!$B$27,0),'Renewal Rates'!$F$7),IF(A398="Renewal",100%,0%))</f>
        <v>2.6599999999999999E-2</v>
      </c>
      <c r="U398" s="68">
        <f t="shared" si="6"/>
        <v>2774.7167559999998</v>
      </c>
      <c r="V398" s="68"/>
    </row>
    <row r="399" spans="1:22" x14ac:dyDescent="0.3">
      <c r="A399" s="41" t="s">
        <v>21</v>
      </c>
      <c r="B399" s="51">
        <v>1.0209999999999999</v>
      </c>
      <c r="C399" s="58">
        <v>2000601169</v>
      </c>
      <c r="D399" s="86">
        <v>31.92</v>
      </c>
      <c r="E399" s="86"/>
      <c r="F399" s="52">
        <v>450</v>
      </c>
      <c r="G399" s="53">
        <v>1050</v>
      </c>
      <c r="H399" s="52" t="s">
        <v>122</v>
      </c>
      <c r="I399" s="45" t="s">
        <v>122</v>
      </c>
      <c r="J399" s="41">
        <v>385</v>
      </c>
      <c r="K399" s="54" t="s">
        <v>23</v>
      </c>
      <c r="L399" s="54" t="s">
        <v>24</v>
      </c>
      <c r="M399" s="57">
        <v>221839</v>
      </c>
      <c r="N399" s="57">
        <v>6950</v>
      </c>
      <c r="O399" s="57">
        <v>75425</v>
      </c>
      <c r="P399" s="57">
        <v>297264</v>
      </c>
      <c r="Q399" s="77">
        <v>0.4</v>
      </c>
      <c r="R399" s="57">
        <v>118906</v>
      </c>
      <c r="S399" s="57">
        <v>416169.46</v>
      </c>
      <c r="T399" s="106">
        <f>IF(A399="Upgrade",IF(OR(H399=4,H399=5),_xlfn.XLOOKUP(I399,'Renewal Rates'!$A$22:$A$27,'Renewal Rates'!$B$22:$B$27,'Renewal Rates'!$B$27,0),'Renewal Rates'!$F$7),IF(A399="Renewal",100%,0%))</f>
        <v>2.6599999999999999E-2</v>
      </c>
      <c r="U399" s="68">
        <f t="shared" si="6"/>
        <v>11070.107636000001</v>
      </c>
      <c r="V399" s="68"/>
    </row>
    <row r="400" spans="1:22" x14ac:dyDescent="0.3">
      <c r="A400" s="41" t="s">
        <v>21</v>
      </c>
      <c r="B400" s="51">
        <v>2.0409999999999999</v>
      </c>
      <c r="C400" s="58">
        <v>2000964455</v>
      </c>
      <c r="D400" s="86">
        <v>51.56</v>
      </c>
      <c r="E400" s="86"/>
      <c r="F400" s="52">
        <v>225</v>
      </c>
      <c r="G400" s="53">
        <v>750</v>
      </c>
      <c r="H400" s="52" t="s">
        <v>122</v>
      </c>
      <c r="I400" s="45" t="s">
        <v>122</v>
      </c>
      <c r="J400" s="41">
        <v>385</v>
      </c>
      <c r="K400" s="54" t="s">
        <v>23</v>
      </c>
      <c r="L400" s="54" t="s">
        <v>24</v>
      </c>
      <c r="M400" s="57">
        <v>241335</v>
      </c>
      <c r="N400" s="57">
        <v>4681</v>
      </c>
      <c r="O400" s="57">
        <v>82054</v>
      </c>
      <c r="P400" s="57">
        <v>323389</v>
      </c>
      <c r="Q400" s="77">
        <v>0.4</v>
      </c>
      <c r="R400" s="57">
        <v>129356</v>
      </c>
      <c r="S400" s="57">
        <v>452744.24</v>
      </c>
      <c r="T400" s="106">
        <f>IF(A400="Upgrade",IF(OR(H400=4,H400=5),_xlfn.XLOOKUP(I400,'Renewal Rates'!$A$22:$A$27,'Renewal Rates'!$B$22:$B$27,'Renewal Rates'!$B$27,0),'Renewal Rates'!$F$7),IF(A400="Renewal",100%,0%))</f>
        <v>2.6599999999999999E-2</v>
      </c>
      <c r="U400" s="68">
        <f t="shared" si="6"/>
        <v>12042.996783999999</v>
      </c>
      <c r="V400" s="68"/>
    </row>
    <row r="401" spans="1:22" x14ac:dyDescent="0.3">
      <c r="A401" s="41" t="s">
        <v>21</v>
      </c>
      <c r="B401" s="51">
        <v>6.0090000000000003</v>
      </c>
      <c r="C401" s="58">
        <v>2000118377</v>
      </c>
      <c r="D401" s="86">
        <v>23.64</v>
      </c>
      <c r="E401" s="86"/>
      <c r="F401" s="52">
        <v>375</v>
      </c>
      <c r="G401" s="53">
        <v>825</v>
      </c>
      <c r="H401" s="52" t="s">
        <v>122</v>
      </c>
      <c r="I401" s="45" t="s">
        <v>122</v>
      </c>
      <c r="J401" s="41">
        <v>387</v>
      </c>
      <c r="K401" s="54" t="s">
        <v>23</v>
      </c>
      <c r="L401" s="54" t="s">
        <v>24</v>
      </c>
      <c r="M401" s="57">
        <v>147386</v>
      </c>
      <c r="N401" s="57">
        <v>6234</v>
      </c>
      <c r="O401" s="57">
        <v>50111</v>
      </c>
      <c r="P401" s="57">
        <v>197497</v>
      </c>
      <c r="Q401" s="77">
        <v>0.4</v>
      </c>
      <c r="R401" s="57">
        <v>78999</v>
      </c>
      <c r="S401" s="57">
        <v>276496.19</v>
      </c>
      <c r="T401" s="106">
        <f>IF(A401="Upgrade",IF(OR(H401=4,H401=5),_xlfn.XLOOKUP(I401,'Renewal Rates'!$A$22:$A$27,'Renewal Rates'!$B$22:$B$27,'Renewal Rates'!$B$27,0),'Renewal Rates'!$F$7),IF(A401="Renewal",100%,0%))</f>
        <v>2.6599999999999999E-2</v>
      </c>
      <c r="U401" s="68">
        <f t="shared" si="6"/>
        <v>7354.7986539999993</v>
      </c>
      <c r="V401" s="68"/>
    </row>
    <row r="402" spans="1:22" x14ac:dyDescent="0.3">
      <c r="A402" s="41" t="s">
        <v>21</v>
      </c>
      <c r="B402" s="51">
        <v>2.0529999999999999</v>
      </c>
      <c r="C402" s="58">
        <v>2000136540</v>
      </c>
      <c r="D402" s="86">
        <v>35.11</v>
      </c>
      <c r="E402" s="86"/>
      <c r="F402" s="52">
        <v>600</v>
      </c>
      <c r="G402" s="53">
        <v>900</v>
      </c>
      <c r="H402" s="52">
        <v>4</v>
      </c>
      <c r="I402" s="45">
        <v>1</v>
      </c>
      <c r="J402" s="41">
        <v>386</v>
      </c>
      <c r="K402" s="54" t="s">
        <v>23</v>
      </c>
      <c r="L402" s="54" t="s">
        <v>24</v>
      </c>
      <c r="M402" s="57">
        <v>201923</v>
      </c>
      <c r="N402" s="57">
        <v>5751</v>
      </c>
      <c r="O402" s="57">
        <v>68654</v>
      </c>
      <c r="P402" s="57">
        <v>270576</v>
      </c>
      <c r="Q402" s="77">
        <v>0.4</v>
      </c>
      <c r="R402" s="57">
        <v>108231</v>
      </c>
      <c r="S402" s="57">
        <v>378807.06</v>
      </c>
      <c r="T402" s="106">
        <f>IF(A402="Upgrade",IF(OR(H402=4,H402=5),_xlfn.XLOOKUP(I402,'Renewal Rates'!$A$22:$A$27,'Renewal Rates'!$B$22:$B$27,'Renewal Rates'!$B$27,0),'Renewal Rates'!$F$7),IF(A402="Renewal",100%,0%))</f>
        <v>0</v>
      </c>
      <c r="U402" s="68">
        <f t="shared" si="6"/>
        <v>0</v>
      </c>
      <c r="V402" s="68"/>
    </row>
    <row r="403" spans="1:22" x14ac:dyDescent="0.3">
      <c r="A403" s="41" t="s">
        <v>21</v>
      </c>
      <c r="B403" s="51">
        <v>2.0289999999999999</v>
      </c>
      <c r="C403" s="58">
        <v>2000240812</v>
      </c>
      <c r="D403" s="86">
        <v>70.650000000000006</v>
      </c>
      <c r="E403" s="86"/>
      <c r="F403" s="52">
        <v>225</v>
      </c>
      <c r="G403" s="53">
        <v>600</v>
      </c>
      <c r="H403" s="52" t="s">
        <v>122</v>
      </c>
      <c r="I403" s="45" t="s">
        <v>122</v>
      </c>
      <c r="J403" s="41">
        <v>385</v>
      </c>
      <c r="K403" s="54" t="s">
        <v>23</v>
      </c>
      <c r="L403" s="54" t="s">
        <v>24</v>
      </c>
      <c r="M403" s="57">
        <v>228367</v>
      </c>
      <c r="N403" s="57">
        <v>3232</v>
      </c>
      <c r="O403" s="57">
        <v>91100</v>
      </c>
      <c r="P403" s="57">
        <v>359042</v>
      </c>
      <c r="Q403" s="77">
        <v>0.4</v>
      </c>
      <c r="R403" s="57">
        <v>143617</v>
      </c>
      <c r="S403" s="57">
        <v>502658.51251280011</v>
      </c>
      <c r="T403" s="106">
        <f>IF(A403="Upgrade",IF(OR(H403=4,H403=5),_xlfn.XLOOKUP(I403,'Renewal Rates'!$A$22:$A$27,'Renewal Rates'!$B$22:$B$27,'Renewal Rates'!$B$27,0),'Renewal Rates'!$F$7),IF(A403="Renewal",100%,0%))</f>
        <v>2.6599999999999999E-2</v>
      </c>
      <c r="U403" s="68">
        <f t="shared" si="6"/>
        <v>13370.716432840482</v>
      </c>
      <c r="V403" s="68"/>
    </row>
    <row r="404" spans="1:22" x14ac:dyDescent="0.3">
      <c r="A404" s="41" t="s">
        <v>21</v>
      </c>
      <c r="B404" s="51">
        <v>5.0049999999999999</v>
      </c>
      <c r="C404" s="58">
        <v>2000085571</v>
      </c>
      <c r="D404" s="86">
        <v>98.34</v>
      </c>
      <c r="E404" s="86"/>
      <c r="F404" s="52">
        <v>450</v>
      </c>
      <c r="G404" s="53">
        <v>825</v>
      </c>
      <c r="H404" s="52" t="s">
        <v>122</v>
      </c>
      <c r="I404" s="45" t="s">
        <v>122</v>
      </c>
      <c r="J404" s="41">
        <v>387</v>
      </c>
      <c r="K404" s="54" t="s">
        <v>23</v>
      </c>
      <c r="L404" s="54" t="s">
        <v>24</v>
      </c>
      <c r="M404" s="57">
        <v>436781</v>
      </c>
      <c r="N404" s="57">
        <v>4442</v>
      </c>
      <c r="O404" s="57">
        <v>148505</v>
      </c>
      <c r="P404" s="57">
        <v>585286</v>
      </c>
      <c r="Q404" s="77">
        <v>0.4</v>
      </c>
      <c r="R404" s="57">
        <v>234114</v>
      </c>
      <c r="S404" s="57">
        <v>819400.28</v>
      </c>
      <c r="T404" s="106">
        <f>IF(A404="Upgrade",IF(OR(H404=4,H404=5),_xlfn.XLOOKUP(I404,'Renewal Rates'!$A$22:$A$27,'Renewal Rates'!$B$22:$B$27,'Renewal Rates'!$B$27,0),'Renewal Rates'!$F$7),IF(A404="Renewal",100%,0%))</f>
        <v>2.6599999999999999E-2</v>
      </c>
      <c r="U404" s="68">
        <f t="shared" si="6"/>
        <v>21796.047448000001</v>
      </c>
      <c r="V404" s="68"/>
    </row>
    <row r="405" spans="1:22" x14ac:dyDescent="0.3">
      <c r="A405" s="41" t="s">
        <v>21</v>
      </c>
      <c r="B405" s="51">
        <v>4.0049999999999999</v>
      </c>
      <c r="C405" s="58">
        <v>2000519319</v>
      </c>
      <c r="D405" s="86">
        <v>18.02</v>
      </c>
      <c r="E405" s="86"/>
      <c r="F405" s="52">
        <v>750</v>
      </c>
      <c r="G405" s="53">
        <v>975</v>
      </c>
      <c r="H405" s="52">
        <v>4</v>
      </c>
      <c r="I405" s="45">
        <v>1</v>
      </c>
      <c r="J405" s="41">
        <v>386</v>
      </c>
      <c r="K405" s="54" t="s">
        <v>23</v>
      </c>
      <c r="L405" s="54" t="s">
        <v>24</v>
      </c>
      <c r="M405" s="57">
        <v>145810</v>
      </c>
      <c r="N405" s="57">
        <v>8090</v>
      </c>
      <c r="O405" s="57">
        <v>49575</v>
      </c>
      <c r="P405" s="57">
        <v>195385</v>
      </c>
      <c r="Q405" s="77">
        <v>0.4</v>
      </c>
      <c r="R405" s="57">
        <v>78154</v>
      </c>
      <c r="S405" s="57">
        <v>273539.02</v>
      </c>
      <c r="T405" s="106">
        <f>IF(A405="Upgrade",IF(OR(H405=4,H405=5),_xlfn.XLOOKUP(I405,'Renewal Rates'!$A$22:$A$27,'Renewal Rates'!$B$22:$B$27,'Renewal Rates'!$B$27,0),'Renewal Rates'!$F$7),IF(A405="Renewal",100%,0%))</f>
        <v>0</v>
      </c>
      <c r="U405" s="68">
        <f t="shared" si="6"/>
        <v>0</v>
      </c>
      <c r="V405" s="68"/>
    </row>
    <row r="406" spans="1:22" x14ac:dyDescent="0.3">
      <c r="A406" s="41" t="s">
        <v>21</v>
      </c>
      <c r="B406" s="51">
        <v>5.008</v>
      </c>
      <c r="C406" s="58">
        <v>2000595354</v>
      </c>
      <c r="D406" s="86">
        <v>38.01</v>
      </c>
      <c r="E406" s="86"/>
      <c r="F406" s="52">
        <v>225</v>
      </c>
      <c r="G406" s="53">
        <v>750</v>
      </c>
      <c r="H406" s="52">
        <v>4</v>
      </c>
      <c r="I406" s="45">
        <v>2</v>
      </c>
      <c r="J406" s="41">
        <v>387</v>
      </c>
      <c r="K406" s="54" t="s">
        <v>23</v>
      </c>
      <c r="L406" s="54" t="s">
        <v>24</v>
      </c>
      <c r="M406" s="57">
        <v>178981</v>
      </c>
      <c r="N406" s="57">
        <v>4709</v>
      </c>
      <c r="O406" s="57">
        <v>60853</v>
      </c>
      <c r="P406" s="57">
        <v>239834</v>
      </c>
      <c r="Q406" s="77">
        <v>0.4</v>
      </c>
      <c r="R406" s="57">
        <v>95934</v>
      </c>
      <c r="S406" s="57">
        <v>335767.96</v>
      </c>
      <c r="T406" s="106">
        <f>IF(A406="Upgrade",IF(OR(H406=4,H406=5),_xlfn.XLOOKUP(I406,'Renewal Rates'!$A$22:$A$27,'Renewal Rates'!$B$22:$B$27,'Renewal Rates'!$B$27,0),'Renewal Rates'!$F$7),IF(A406="Renewal",100%,0%))</f>
        <v>0</v>
      </c>
      <c r="U406" s="68">
        <f t="shared" si="6"/>
        <v>0</v>
      </c>
      <c r="V406" s="68"/>
    </row>
    <row r="407" spans="1:22" x14ac:dyDescent="0.3">
      <c r="A407" s="41" t="s">
        <v>21</v>
      </c>
      <c r="B407" s="51">
        <v>6.0039999999999996</v>
      </c>
      <c r="C407" s="58">
        <v>2000126605</v>
      </c>
      <c r="D407" s="86">
        <v>104.11</v>
      </c>
      <c r="E407" s="86"/>
      <c r="F407" s="52">
        <v>300</v>
      </c>
      <c r="G407" s="53">
        <v>750</v>
      </c>
      <c r="H407" s="52" t="s">
        <v>122</v>
      </c>
      <c r="I407" s="45" t="s">
        <v>122</v>
      </c>
      <c r="J407" s="41">
        <v>387</v>
      </c>
      <c r="K407" s="54" t="s">
        <v>23</v>
      </c>
      <c r="L407" s="54" t="s">
        <v>24</v>
      </c>
      <c r="M407" s="57">
        <v>434475</v>
      </c>
      <c r="N407" s="57">
        <v>4173</v>
      </c>
      <c r="O407" s="57">
        <v>147721</v>
      </c>
      <c r="P407" s="57">
        <v>582196</v>
      </c>
      <c r="Q407" s="77">
        <v>0.4</v>
      </c>
      <c r="R407" s="57">
        <v>232878</v>
      </c>
      <c r="S407" s="57">
        <v>815074.53</v>
      </c>
      <c r="T407" s="106">
        <f>IF(A407="Upgrade",IF(OR(H407=4,H407=5),_xlfn.XLOOKUP(I407,'Renewal Rates'!$A$22:$A$27,'Renewal Rates'!$B$22:$B$27,'Renewal Rates'!$B$27,0),'Renewal Rates'!$F$7),IF(A407="Renewal",100%,0%))</f>
        <v>2.6599999999999999E-2</v>
      </c>
      <c r="U407" s="68">
        <f t="shared" si="6"/>
        <v>21680.982498000001</v>
      </c>
      <c r="V407" s="68"/>
    </row>
    <row r="408" spans="1:22" x14ac:dyDescent="0.3">
      <c r="A408" s="41" t="s">
        <v>21</v>
      </c>
      <c r="B408" s="51">
        <v>2.0019999999999998</v>
      </c>
      <c r="C408" s="58">
        <v>2000674144</v>
      </c>
      <c r="D408" s="86">
        <v>41.16</v>
      </c>
      <c r="E408" s="86"/>
      <c r="F408" s="52">
        <v>600</v>
      </c>
      <c r="G408" s="53">
        <v>1275</v>
      </c>
      <c r="H408" s="52">
        <v>5</v>
      </c>
      <c r="I408" s="45">
        <v>2</v>
      </c>
      <c r="J408" s="41">
        <v>385</v>
      </c>
      <c r="K408" s="54" t="s">
        <v>23</v>
      </c>
      <c r="L408" s="54" t="s">
        <v>24</v>
      </c>
      <c r="M408" s="57">
        <v>289090</v>
      </c>
      <c r="N408" s="57">
        <v>7024</v>
      </c>
      <c r="O408" s="57">
        <v>98291</v>
      </c>
      <c r="P408" s="57">
        <v>387381</v>
      </c>
      <c r="Q408" s="77">
        <v>0.4</v>
      </c>
      <c r="R408" s="57">
        <v>154952</v>
      </c>
      <c r="S408" s="57">
        <v>542333.29</v>
      </c>
      <c r="T408" s="106">
        <f>IF(A408="Upgrade",IF(OR(H408=4,H408=5),_xlfn.XLOOKUP(I408,'Renewal Rates'!$A$22:$A$27,'Renewal Rates'!$B$22:$B$27,'Renewal Rates'!$B$27,0),'Renewal Rates'!$F$7),IF(A408="Renewal",100%,0%))</f>
        <v>0</v>
      </c>
      <c r="U408" s="68">
        <f t="shared" si="6"/>
        <v>0</v>
      </c>
      <c r="V408" s="68"/>
    </row>
    <row r="409" spans="1:22" x14ac:dyDescent="0.3">
      <c r="A409" s="41" t="s">
        <v>21</v>
      </c>
      <c r="B409" s="51">
        <v>12.016</v>
      </c>
      <c r="C409" s="58">
        <v>2000251726</v>
      </c>
      <c r="D409" s="86">
        <v>45.86</v>
      </c>
      <c r="E409" s="86"/>
      <c r="F409" s="52">
        <v>375</v>
      </c>
      <c r="G409" s="53">
        <v>450</v>
      </c>
      <c r="H409" s="52" t="s">
        <v>122</v>
      </c>
      <c r="I409" s="45" t="s">
        <v>122</v>
      </c>
      <c r="J409" s="41">
        <v>377</v>
      </c>
      <c r="K409" s="54" t="s">
        <v>23</v>
      </c>
      <c r="L409" s="54" t="s">
        <v>24</v>
      </c>
      <c r="M409" s="57">
        <v>135393</v>
      </c>
      <c r="N409" s="57">
        <v>2952</v>
      </c>
      <c r="O409" s="57">
        <v>46034</v>
      </c>
      <c r="P409" s="57">
        <v>181427</v>
      </c>
      <c r="Q409" s="77">
        <v>0.4</v>
      </c>
      <c r="R409" s="57">
        <v>72571</v>
      </c>
      <c r="S409" s="57">
        <v>253997.48</v>
      </c>
      <c r="T409" s="106">
        <f>IF(A409="Upgrade",IF(OR(H409=4,H409=5),_xlfn.XLOOKUP(I409,'Renewal Rates'!$A$22:$A$27,'Renewal Rates'!$B$22:$B$27,'Renewal Rates'!$B$27,0),'Renewal Rates'!$F$7),IF(A409="Renewal",100%,0%))</f>
        <v>2.6599999999999999E-2</v>
      </c>
      <c r="U409" s="68">
        <f t="shared" si="6"/>
        <v>6756.3329679999997</v>
      </c>
      <c r="V409" s="68"/>
    </row>
    <row r="410" spans="1:22" x14ac:dyDescent="0.3">
      <c r="A410" s="41" t="s">
        <v>21</v>
      </c>
      <c r="B410" s="51">
        <v>0</v>
      </c>
      <c r="C410" s="58">
        <v>2000789295</v>
      </c>
      <c r="D410" s="86">
        <v>1.91</v>
      </c>
      <c r="E410" s="86"/>
      <c r="F410" s="52">
        <v>300</v>
      </c>
      <c r="G410" s="53">
        <v>825</v>
      </c>
      <c r="H410" s="52" t="s">
        <v>122</v>
      </c>
      <c r="I410" s="45" t="s">
        <v>122</v>
      </c>
      <c r="J410" s="41">
        <v>387</v>
      </c>
      <c r="K410" s="54" t="s">
        <v>23</v>
      </c>
      <c r="L410" s="54" t="s">
        <v>24</v>
      </c>
      <c r="M410" s="57">
        <v>51991.621700000003</v>
      </c>
      <c r="N410" s="57">
        <v>27216.440999999999</v>
      </c>
      <c r="O410" s="57">
        <v>17677.151378000002</v>
      </c>
      <c r="P410" s="57">
        <v>69668.773077999998</v>
      </c>
      <c r="Q410" s="77">
        <v>0.4</v>
      </c>
      <c r="R410" s="57">
        <v>27867.509231200002</v>
      </c>
      <c r="S410" s="57">
        <v>97536.282309200004</v>
      </c>
      <c r="T410" s="106">
        <f>IF(A410="Upgrade",IF(OR(H410=4,H410=5),_xlfn.XLOOKUP(I410,'Renewal Rates'!$A$22:$A$27,'Renewal Rates'!$B$22:$B$27,'Renewal Rates'!$B$27,0),'Renewal Rates'!$F$7),IF(A410="Renewal",100%,0%))</f>
        <v>2.6599999999999999E-2</v>
      </c>
      <c r="U410" s="68">
        <f t="shared" si="6"/>
        <v>2594.4651094247201</v>
      </c>
      <c r="V410" s="68"/>
    </row>
    <row r="411" spans="1:22" x14ac:dyDescent="0.3">
      <c r="A411" s="41" t="s">
        <v>21</v>
      </c>
      <c r="B411" s="51">
        <v>6.0030000000000001</v>
      </c>
      <c r="C411" s="58">
        <v>2000002646</v>
      </c>
      <c r="D411" s="86">
        <v>105.79508199999999</v>
      </c>
      <c r="E411" s="86"/>
      <c r="F411" s="52">
        <v>225</v>
      </c>
      <c r="G411" s="53">
        <v>975</v>
      </c>
      <c r="H411" s="52" t="s">
        <v>122</v>
      </c>
      <c r="I411" s="45" t="s">
        <v>122</v>
      </c>
      <c r="J411" s="41">
        <v>387</v>
      </c>
      <c r="K411" s="54" t="s">
        <v>23</v>
      </c>
      <c r="L411" s="54" t="s">
        <v>24</v>
      </c>
      <c r="M411" s="57">
        <v>658295</v>
      </c>
      <c r="N411" s="57">
        <v>6222</v>
      </c>
      <c r="O411" s="57">
        <v>223820</v>
      </c>
      <c r="P411" s="57">
        <v>882115</v>
      </c>
      <c r="Q411" s="77">
        <v>0.4</v>
      </c>
      <c r="R411" s="57">
        <v>352846</v>
      </c>
      <c r="S411" s="57">
        <v>1234961.3899999999</v>
      </c>
      <c r="T411" s="106">
        <f>IF(A411="Upgrade",IF(OR(H411=4,H411=5),_xlfn.XLOOKUP(I411,'Renewal Rates'!$A$22:$A$27,'Renewal Rates'!$B$22:$B$27,'Renewal Rates'!$B$27,0),'Renewal Rates'!$F$7),IF(A411="Renewal",100%,0%))</f>
        <v>2.6599999999999999E-2</v>
      </c>
      <c r="U411" s="68">
        <f t="shared" si="6"/>
        <v>32849.972973999997</v>
      </c>
      <c r="V411" s="68"/>
    </row>
    <row r="412" spans="1:22" x14ac:dyDescent="0.3">
      <c r="A412" s="41" t="s">
        <v>21</v>
      </c>
      <c r="B412" s="51">
        <v>5.01</v>
      </c>
      <c r="C412" s="58">
        <v>3000143843</v>
      </c>
      <c r="D412" s="86">
        <v>35.351905000000002</v>
      </c>
      <c r="E412" s="86"/>
      <c r="F412" s="52">
        <v>450</v>
      </c>
      <c r="G412" s="53">
        <v>975</v>
      </c>
      <c r="H412" s="52" t="s">
        <v>122</v>
      </c>
      <c r="I412" s="45" t="s">
        <v>122</v>
      </c>
      <c r="J412" s="41">
        <v>387</v>
      </c>
      <c r="K412" s="54" t="s">
        <v>23</v>
      </c>
      <c r="L412" s="54" t="s">
        <v>24</v>
      </c>
      <c r="M412" s="57">
        <v>223337</v>
      </c>
      <c r="N412" s="57">
        <v>6318</v>
      </c>
      <c r="O412" s="57">
        <v>75935</v>
      </c>
      <c r="P412" s="57">
        <v>299271</v>
      </c>
      <c r="Q412" s="77">
        <v>0.4</v>
      </c>
      <c r="R412" s="57">
        <v>119709</v>
      </c>
      <c r="S412" s="57">
        <v>418979.95</v>
      </c>
      <c r="T412" s="106">
        <f>IF(A412="Upgrade",IF(OR(H412=4,H412=5),_xlfn.XLOOKUP(I412,'Renewal Rates'!$A$22:$A$27,'Renewal Rates'!$B$22:$B$27,'Renewal Rates'!$B$27,0),'Renewal Rates'!$F$7),IF(A412="Renewal",100%,0%))</f>
        <v>2.6599999999999999E-2</v>
      </c>
      <c r="U412" s="68">
        <f t="shared" si="6"/>
        <v>11144.866669999999</v>
      </c>
      <c r="V412" s="68"/>
    </row>
    <row r="413" spans="1:22" x14ac:dyDescent="0.3">
      <c r="A413" s="41" t="s">
        <v>21</v>
      </c>
      <c r="B413" s="51">
        <v>4.008</v>
      </c>
      <c r="C413" s="58">
        <v>3000102628</v>
      </c>
      <c r="D413" s="86">
        <v>25.106535000000001</v>
      </c>
      <c r="E413" s="86"/>
      <c r="F413" s="52">
        <v>300</v>
      </c>
      <c r="G413" s="53">
        <v>975</v>
      </c>
      <c r="H413" s="52" t="s">
        <v>122</v>
      </c>
      <c r="I413" s="45" t="s">
        <v>122</v>
      </c>
      <c r="J413" s="41">
        <v>386</v>
      </c>
      <c r="K413" s="54" t="s">
        <v>23</v>
      </c>
      <c r="L413" s="54" t="s">
        <v>24</v>
      </c>
      <c r="M413" s="57">
        <v>183092</v>
      </c>
      <c r="N413" s="57">
        <v>7072</v>
      </c>
      <c r="O413" s="57">
        <v>62251</v>
      </c>
      <c r="P413" s="57">
        <v>245344</v>
      </c>
      <c r="Q413" s="77">
        <v>0.4</v>
      </c>
      <c r="R413" s="57">
        <v>98138</v>
      </c>
      <c r="S413" s="57">
        <v>343481.34</v>
      </c>
      <c r="T413" s="106">
        <f>IF(A413="Upgrade",IF(OR(H413=4,H413=5),_xlfn.XLOOKUP(I413,'Renewal Rates'!$A$22:$A$27,'Renewal Rates'!$B$22:$B$27,'Renewal Rates'!$B$27,0),'Renewal Rates'!$F$7),IF(A413="Renewal",100%,0%))</f>
        <v>2.6599999999999999E-2</v>
      </c>
      <c r="U413" s="68">
        <f t="shared" si="6"/>
        <v>9136.6036440000007</v>
      </c>
      <c r="V413" s="68"/>
    </row>
    <row r="414" spans="1:22" x14ac:dyDescent="0.3">
      <c r="A414" s="41" t="s">
        <v>21</v>
      </c>
      <c r="B414" s="51">
        <v>3.0369999999999999</v>
      </c>
      <c r="C414" s="58">
        <v>2000793373</v>
      </c>
      <c r="D414" s="86">
        <v>14.81</v>
      </c>
      <c r="E414" s="86"/>
      <c r="F414" s="52">
        <v>225</v>
      </c>
      <c r="G414" s="53">
        <v>1275</v>
      </c>
      <c r="H414" s="52" t="s">
        <v>122</v>
      </c>
      <c r="I414" s="45" t="s">
        <v>122</v>
      </c>
      <c r="J414" s="41">
        <v>387</v>
      </c>
      <c r="K414" s="54" t="s">
        <v>23</v>
      </c>
      <c r="L414" s="54" t="s">
        <v>24</v>
      </c>
      <c r="M414" s="57">
        <v>108976</v>
      </c>
      <c r="N414" s="57">
        <v>7359</v>
      </c>
      <c r="O414" s="57">
        <v>37052</v>
      </c>
      <c r="P414" s="57">
        <v>146028</v>
      </c>
      <c r="Q414" s="77">
        <v>0.4</v>
      </c>
      <c r="R414" s="57">
        <v>58411</v>
      </c>
      <c r="S414" s="57">
        <v>204439.55</v>
      </c>
      <c r="T414" s="106">
        <f>IF(A414="Upgrade",IF(OR(H414=4,H414=5),_xlfn.XLOOKUP(I414,'Renewal Rates'!$A$22:$A$27,'Renewal Rates'!$B$22:$B$27,'Renewal Rates'!$B$27,0),'Renewal Rates'!$F$7),IF(A414="Renewal",100%,0%))</f>
        <v>2.6599999999999999E-2</v>
      </c>
      <c r="U414" s="68">
        <f t="shared" si="6"/>
        <v>5438.0920299999998</v>
      </c>
      <c r="V414" s="68"/>
    </row>
    <row r="415" spans="1:22" x14ac:dyDescent="0.3">
      <c r="A415" s="41" t="s">
        <v>21</v>
      </c>
      <c r="B415" s="51">
        <v>1.0209999999999999</v>
      </c>
      <c r="C415" s="58">
        <v>3000044890</v>
      </c>
      <c r="D415" s="86">
        <v>20.63</v>
      </c>
      <c r="E415" s="86"/>
      <c r="F415" s="52">
        <v>450</v>
      </c>
      <c r="G415" s="53">
        <v>1050</v>
      </c>
      <c r="H415" s="52" t="s">
        <v>122</v>
      </c>
      <c r="I415" s="45" t="s">
        <v>122</v>
      </c>
      <c r="J415" s="41">
        <v>385</v>
      </c>
      <c r="K415" s="54" t="s">
        <v>23</v>
      </c>
      <c r="L415" s="54" t="s">
        <v>24</v>
      </c>
      <c r="M415" s="57">
        <v>176317</v>
      </c>
      <c r="N415" s="57">
        <v>8547</v>
      </c>
      <c r="O415" s="57">
        <v>59948</v>
      </c>
      <c r="P415" s="57">
        <v>236265</v>
      </c>
      <c r="Q415" s="77">
        <v>0.4</v>
      </c>
      <c r="R415" s="57">
        <v>94506</v>
      </c>
      <c r="S415" s="57">
        <v>330770.40000000002</v>
      </c>
      <c r="T415" s="106">
        <f>IF(A415="Upgrade",IF(OR(H415=4,H415=5),_xlfn.XLOOKUP(I415,'Renewal Rates'!$A$22:$A$27,'Renewal Rates'!$B$22:$B$27,'Renewal Rates'!$B$27,0),'Renewal Rates'!$F$7),IF(A415="Renewal",100%,0%))</f>
        <v>2.6599999999999999E-2</v>
      </c>
      <c r="U415" s="68">
        <f t="shared" si="6"/>
        <v>8798.4926400000004</v>
      </c>
      <c r="V415" s="68"/>
    </row>
    <row r="416" spans="1:22" x14ac:dyDescent="0.3">
      <c r="A416" s="41" t="s">
        <v>21</v>
      </c>
      <c r="B416" s="51">
        <v>3.0630000000000002</v>
      </c>
      <c r="C416" s="58">
        <v>2000689564</v>
      </c>
      <c r="D416" s="86">
        <v>27.51</v>
      </c>
      <c r="E416" s="86"/>
      <c r="F416" s="52">
        <v>225</v>
      </c>
      <c r="G416" s="53">
        <v>750</v>
      </c>
      <c r="H416" s="52" t="s">
        <v>122</v>
      </c>
      <c r="I416" s="45" t="s">
        <v>122</v>
      </c>
      <c r="J416" s="41">
        <v>386</v>
      </c>
      <c r="K416" s="54" t="s">
        <v>23</v>
      </c>
      <c r="L416" s="54" t="s">
        <v>24</v>
      </c>
      <c r="M416" s="57">
        <v>125829</v>
      </c>
      <c r="N416" s="57">
        <v>4574</v>
      </c>
      <c r="O416" s="57">
        <v>42782</v>
      </c>
      <c r="P416" s="57">
        <v>168610</v>
      </c>
      <c r="Q416" s="77">
        <v>0.4</v>
      </c>
      <c r="R416" s="57">
        <v>67444</v>
      </c>
      <c r="S416" s="57">
        <v>236054.53</v>
      </c>
      <c r="T416" s="106">
        <f>IF(A416="Upgrade",IF(OR(H416=4,H416=5),_xlfn.XLOOKUP(I416,'Renewal Rates'!$A$22:$A$27,'Renewal Rates'!$B$22:$B$27,'Renewal Rates'!$B$27,0),'Renewal Rates'!$F$7),IF(A416="Renewal",100%,0%))</f>
        <v>2.6599999999999999E-2</v>
      </c>
      <c r="U416" s="68">
        <f t="shared" si="6"/>
        <v>6279.0504979999996</v>
      </c>
      <c r="V416" s="68"/>
    </row>
    <row r="417" spans="1:22" x14ac:dyDescent="0.3">
      <c r="A417" s="41" t="s">
        <v>21</v>
      </c>
      <c r="B417" s="51">
        <v>3.0430000000000001</v>
      </c>
      <c r="C417" s="58">
        <v>2000137853</v>
      </c>
      <c r="D417" s="86">
        <v>6.83</v>
      </c>
      <c r="E417" s="86"/>
      <c r="F417" s="52">
        <v>450</v>
      </c>
      <c r="G417" s="53">
        <v>675</v>
      </c>
      <c r="H417" s="52" t="s">
        <v>122</v>
      </c>
      <c r="I417" s="45" t="s">
        <v>122</v>
      </c>
      <c r="J417" s="41">
        <v>387</v>
      </c>
      <c r="K417" s="54" t="s">
        <v>23</v>
      </c>
      <c r="L417" s="54" t="s">
        <v>24</v>
      </c>
      <c r="M417" s="57">
        <v>56306</v>
      </c>
      <c r="N417" s="57">
        <v>10705</v>
      </c>
      <c r="O417" s="57">
        <v>19144</v>
      </c>
      <c r="P417" s="57">
        <v>75450</v>
      </c>
      <c r="Q417" s="77">
        <v>0.4</v>
      </c>
      <c r="R417" s="57">
        <v>30180</v>
      </c>
      <c r="S417" s="57">
        <v>105630.5</v>
      </c>
      <c r="T417" s="106">
        <f>IF(A417="Upgrade",IF(OR(H417=4,H417=5),_xlfn.XLOOKUP(I417,'Renewal Rates'!$A$22:$A$27,'Renewal Rates'!$B$22:$B$27,'Renewal Rates'!$B$27,0),'Renewal Rates'!$F$7),IF(A417="Renewal",100%,0%))</f>
        <v>2.6599999999999999E-2</v>
      </c>
      <c r="U417" s="68">
        <f t="shared" si="6"/>
        <v>2809.7712999999999</v>
      </c>
      <c r="V417" s="68"/>
    </row>
    <row r="418" spans="1:22" x14ac:dyDescent="0.3">
      <c r="A418" s="41" t="s">
        <v>21</v>
      </c>
      <c r="B418" s="51">
        <v>4.008</v>
      </c>
      <c r="C418" s="58">
        <v>2000014237</v>
      </c>
      <c r="D418" s="86">
        <v>7.06</v>
      </c>
      <c r="E418" s="86"/>
      <c r="F418" s="52">
        <v>375</v>
      </c>
      <c r="G418" s="53">
        <v>975</v>
      </c>
      <c r="H418" s="52">
        <v>4</v>
      </c>
      <c r="I418" s="45">
        <v>2</v>
      </c>
      <c r="J418" s="41">
        <v>386</v>
      </c>
      <c r="K418" s="54" t="s">
        <v>23</v>
      </c>
      <c r="L418" s="54" t="s">
        <v>24</v>
      </c>
      <c r="M418" s="57">
        <v>80090</v>
      </c>
      <c r="N418" s="57">
        <v>11349</v>
      </c>
      <c r="O418" s="57">
        <v>27231</v>
      </c>
      <c r="P418" s="57">
        <v>107321</v>
      </c>
      <c r="Q418" s="77">
        <v>0.4</v>
      </c>
      <c r="R418" s="57">
        <v>42928</v>
      </c>
      <c r="S418" s="57">
        <v>150249.22</v>
      </c>
      <c r="T418" s="106">
        <f>IF(A418="Upgrade",IF(OR(H418=4,H418=5),_xlfn.XLOOKUP(I418,'Renewal Rates'!$A$22:$A$27,'Renewal Rates'!$B$22:$B$27,'Renewal Rates'!$B$27,0),'Renewal Rates'!$F$7),IF(A418="Renewal",100%,0%))</f>
        <v>0</v>
      </c>
      <c r="U418" s="68">
        <f t="shared" si="6"/>
        <v>0</v>
      </c>
      <c r="V418" s="68"/>
    </row>
    <row r="419" spans="1:22" x14ac:dyDescent="0.3">
      <c r="A419" s="41" t="s">
        <v>21</v>
      </c>
      <c r="B419" s="51">
        <v>3.044</v>
      </c>
      <c r="C419" s="58">
        <v>3000126067</v>
      </c>
      <c r="D419" s="86">
        <v>11.280004999999999</v>
      </c>
      <c r="E419" s="86"/>
      <c r="F419" s="52">
        <v>225</v>
      </c>
      <c r="G419" s="53">
        <v>825</v>
      </c>
      <c r="H419" s="52" t="s">
        <v>122</v>
      </c>
      <c r="I419" s="45" t="s">
        <v>122</v>
      </c>
      <c r="J419" s="41">
        <v>387</v>
      </c>
      <c r="K419" s="54" t="s">
        <v>23</v>
      </c>
      <c r="L419" s="54" t="s">
        <v>24</v>
      </c>
      <c r="M419" s="57">
        <v>85708</v>
      </c>
      <c r="N419" s="57">
        <v>7598</v>
      </c>
      <c r="O419" s="57">
        <v>29141</v>
      </c>
      <c r="P419" s="57">
        <v>114849</v>
      </c>
      <c r="Q419" s="77">
        <v>0.4</v>
      </c>
      <c r="R419" s="57">
        <v>45940</v>
      </c>
      <c r="S419" s="57">
        <v>160788.82999999999</v>
      </c>
      <c r="T419" s="106">
        <f>IF(A419="Upgrade",IF(OR(H419=4,H419=5),_xlfn.XLOOKUP(I419,'Renewal Rates'!$A$22:$A$27,'Renewal Rates'!$B$22:$B$27,'Renewal Rates'!$B$27,0),'Renewal Rates'!$F$7),IF(A419="Renewal",100%,0%))</f>
        <v>2.6599999999999999E-2</v>
      </c>
      <c r="U419" s="68">
        <f t="shared" si="6"/>
        <v>4276.9828779999998</v>
      </c>
      <c r="V419" s="68"/>
    </row>
    <row r="420" spans="1:22" x14ac:dyDescent="0.3">
      <c r="A420" s="41" t="s">
        <v>21</v>
      </c>
      <c r="B420" s="51">
        <v>3.0529999999999999</v>
      </c>
      <c r="C420" s="58">
        <v>2000303687</v>
      </c>
      <c r="D420" s="86">
        <v>23.47</v>
      </c>
      <c r="E420" s="86"/>
      <c r="F420" s="52">
        <v>300</v>
      </c>
      <c r="G420" s="53">
        <v>750</v>
      </c>
      <c r="H420" s="52" t="s">
        <v>122</v>
      </c>
      <c r="I420" s="45" t="s">
        <v>122</v>
      </c>
      <c r="J420" s="41">
        <v>386</v>
      </c>
      <c r="K420" s="54" t="s">
        <v>23</v>
      </c>
      <c r="L420" s="54" t="s">
        <v>24</v>
      </c>
      <c r="M420" s="57">
        <v>120331</v>
      </c>
      <c r="N420" s="57">
        <v>5128</v>
      </c>
      <c r="O420" s="57">
        <v>40912</v>
      </c>
      <c r="P420" s="57">
        <v>161243</v>
      </c>
      <c r="Q420" s="77">
        <v>0.4</v>
      </c>
      <c r="R420" s="57">
        <v>64497</v>
      </c>
      <c r="S420" s="57">
        <v>225740.35</v>
      </c>
      <c r="T420" s="106">
        <f>IF(A420="Upgrade",IF(OR(H420=4,H420=5),_xlfn.XLOOKUP(I420,'Renewal Rates'!$A$22:$A$27,'Renewal Rates'!$B$22:$B$27,'Renewal Rates'!$B$27,0),'Renewal Rates'!$F$7),IF(A420="Renewal",100%,0%))</f>
        <v>2.6599999999999999E-2</v>
      </c>
      <c r="U420" s="68">
        <f t="shared" si="6"/>
        <v>6004.6933099999997</v>
      </c>
      <c r="V420" s="68"/>
    </row>
    <row r="421" spans="1:22" x14ac:dyDescent="0.3">
      <c r="A421" s="41" t="s">
        <v>21</v>
      </c>
      <c r="B421" s="51">
        <v>3.0430000000000001</v>
      </c>
      <c r="C421" s="58">
        <v>2000397128</v>
      </c>
      <c r="D421" s="86">
        <v>49.56</v>
      </c>
      <c r="E421" s="86"/>
      <c r="F421" s="52">
        <v>300</v>
      </c>
      <c r="G421" s="53">
        <v>675</v>
      </c>
      <c r="H421" s="52" t="s">
        <v>122</v>
      </c>
      <c r="I421" s="45" t="s">
        <v>122</v>
      </c>
      <c r="J421" s="41">
        <v>387</v>
      </c>
      <c r="K421" s="54" t="s">
        <v>23</v>
      </c>
      <c r="L421" s="54" t="s">
        <v>24</v>
      </c>
      <c r="M421" s="57">
        <v>58187</v>
      </c>
      <c r="N421" s="57">
        <v>8517</v>
      </c>
      <c r="O421" s="57">
        <v>19784</v>
      </c>
      <c r="P421" s="57">
        <v>77970</v>
      </c>
      <c r="Q421" s="77">
        <v>0.4</v>
      </c>
      <c r="R421" s="57">
        <v>31188</v>
      </c>
      <c r="S421" s="57">
        <v>109158.46</v>
      </c>
      <c r="T421" s="106">
        <f>IF(A421="Upgrade",IF(OR(H421=4,H421=5),_xlfn.XLOOKUP(I421,'Renewal Rates'!$A$22:$A$27,'Renewal Rates'!$B$22:$B$27,'Renewal Rates'!$B$27,0),'Renewal Rates'!$F$7),IF(A421="Renewal",100%,0%))</f>
        <v>2.6599999999999999E-2</v>
      </c>
      <c r="U421" s="68">
        <f t="shared" si="6"/>
        <v>2903.6150360000001</v>
      </c>
      <c r="V421" s="68"/>
    </row>
    <row r="422" spans="1:22" x14ac:dyDescent="0.3">
      <c r="A422" s="41" t="s">
        <v>21</v>
      </c>
      <c r="B422" s="51">
        <v>5.008</v>
      </c>
      <c r="C422" s="58">
        <v>2000494846</v>
      </c>
      <c r="D422" s="86">
        <v>16.05</v>
      </c>
      <c r="E422" s="86"/>
      <c r="F422" s="52">
        <v>450</v>
      </c>
      <c r="G422" s="53">
        <v>750</v>
      </c>
      <c r="H422" s="52">
        <v>4</v>
      </c>
      <c r="I422" s="45"/>
      <c r="J422" s="41">
        <v>387</v>
      </c>
      <c r="K422" s="54" t="s">
        <v>23</v>
      </c>
      <c r="L422" s="54" t="s">
        <v>24</v>
      </c>
      <c r="M422" s="57">
        <v>90813</v>
      </c>
      <c r="N422" s="57">
        <v>5657</v>
      </c>
      <c r="O422" s="57">
        <v>30876</v>
      </c>
      <c r="P422" s="57">
        <v>121689</v>
      </c>
      <c r="Q422" s="77">
        <v>0.4</v>
      </c>
      <c r="R422" s="57">
        <v>48676</v>
      </c>
      <c r="S422" s="57">
        <v>170364.43</v>
      </c>
      <c r="T422" s="106">
        <f>IF(A422="Upgrade",IF(OR(H422=4,H422=5),_xlfn.XLOOKUP(I422,'Renewal Rates'!$A$22:$A$27,'Renewal Rates'!$B$22:$B$27,'Renewal Rates'!$B$27,0),'Renewal Rates'!$F$7),IF(A422="Renewal",100%,0%))</f>
        <v>0.116578</v>
      </c>
      <c r="U422" s="68">
        <f t="shared" si="6"/>
        <v>19860.74452054</v>
      </c>
      <c r="V422" s="68"/>
    </row>
    <row r="423" spans="1:22" x14ac:dyDescent="0.3">
      <c r="A423" s="41" t="s">
        <v>21</v>
      </c>
      <c r="B423" s="51">
        <v>3.0529999999999999</v>
      </c>
      <c r="C423" s="58">
        <v>2000075025</v>
      </c>
      <c r="D423" s="86">
        <v>2.8</v>
      </c>
      <c r="E423" s="86"/>
      <c r="F423" s="52">
        <v>225</v>
      </c>
      <c r="G423" s="53">
        <v>750</v>
      </c>
      <c r="H423" s="52" t="s">
        <v>122</v>
      </c>
      <c r="I423" s="45" t="s">
        <v>122</v>
      </c>
      <c r="J423" s="41">
        <v>386</v>
      </c>
      <c r="K423" s="54" t="s">
        <v>23</v>
      </c>
      <c r="L423" s="54" t="s">
        <v>24</v>
      </c>
      <c r="M423" s="57">
        <v>29960</v>
      </c>
      <c r="N423" s="57">
        <v>10682</v>
      </c>
      <c r="O423" s="57">
        <v>10187</v>
      </c>
      <c r="P423" s="57">
        <v>40147</v>
      </c>
      <c r="Q423" s="77">
        <v>0.4</v>
      </c>
      <c r="R423" s="57">
        <v>16059</v>
      </c>
      <c r="S423" s="57">
        <v>56205.78</v>
      </c>
      <c r="T423" s="106">
        <f>IF(A423="Upgrade",IF(OR(H423=4,H423=5),_xlfn.XLOOKUP(I423,'Renewal Rates'!$A$22:$A$27,'Renewal Rates'!$B$22:$B$27,'Renewal Rates'!$B$27,0),'Renewal Rates'!$F$7),IF(A423="Renewal",100%,0%))</f>
        <v>2.6599999999999999E-2</v>
      </c>
      <c r="U423" s="68">
        <f t="shared" si="6"/>
        <v>1495.0737479999998</v>
      </c>
      <c r="V423" s="68"/>
    </row>
    <row r="424" spans="1:22" x14ac:dyDescent="0.3">
      <c r="A424" s="41" t="s">
        <v>21</v>
      </c>
      <c r="B424" s="51">
        <v>2.0579999999999998</v>
      </c>
      <c r="C424" s="58">
        <v>2000030487</v>
      </c>
      <c r="D424" s="86">
        <v>61.46</v>
      </c>
      <c r="E424" s="86"/>
      <c r="F424" s="52">
        <v>300</v>
      </c>
      <c r="G424" s="53">
        <v>600</v>
      </c>
      <c r="H424" s="52" t="s">
        <v>122</v>
      </c>
      <c r="I424" s="45" t="s">
        <v>122</v>
      </c>
      <c r="J424" s="41">
        <v>385</v>
      </c>
      <c r="K424" s="54" t="s">
        <v>23</v>
      </c>
      <c r="L424" s="54" t="s">
        <v>24</v>
      </c>
      <c r="M424" s="57">
        <v>222618</v>
      </c>
      <c r="N424" s="57">
        <v>3622</v>
      </c>
      <c r="O424" s="57">
        <v>75690</v>
      </c>
      <c r="P424" s="57">
        <v>298309</v>
      </c>
      <c r="Q424" s="77">
        <v>0.4</v>
      </c>
      <c r="R424" s="57">
        <v>119323</v>
      </c>
      <c r="S424" s="57">
        <v>417632.2</v>
      </c>
      <c r="T424" s="106">
        <f>IF(A424="Upgrade",IF(OR(H424=4,H424=5),_xlfn.XLOOKUP(I424,'Renewal Rates'!$A$22:$A$27,'Renewal Rates'!$B$22:$B$27,'Renewal Rates'!$B$27,0),'Renewal Rates'!$F$7),IF(A424="Renewal",100%,0%))</f>
        <v>2.6599999999999999E-2</v>
      </c>
      <c r="U424" s="68">
        <f t="shared" si="6"/>
        <v>11109.016519999999</v>
      </c>
      <c r="V424" s="68"/>
    </row>
    <row r="425" spans="1:22" x14ac:dyDescent="0.3">
      <c r="A425" s="41" t="s">
        <v>21</v>
      </c>
      <c r="B425" s="51">
        <v>5.0019999999999998</v>
      </c>
      <c r="C425" s="58">
        <v>2000598869</v>
      </c>
      <c r="D425" s="86">
        <v>29.93</v>
      </c>
      <c r="E425" s="86"/>
      <c r="F425" s="52">
        <v>225</v>
      </c>
      <c r="G425" s="53">
        <v>900</v>
      </c>
      <c r="H425" s="52" t="s">
        <v>122</v>
      </c>
      <c r="I425" s="45" t="s">
        <v>122</v>
      </c>
      <c r="J425" s="41">
        <v>387</v>
      </c>
      <c r="K425" s="54" t="s">
        <v>23</v>
      </c>
      <c r="L425" s="54" t="s">
        <v>24</v>
      </c>
      <c r="M425" s="57">
        <v>170476</v>
      </c>
      <c r="N425" s="57">
        <v>5696</v>
      </c>
      <c r="O425" s="57">
        <v>57962</v>
      </c>
      <c r="P425" s="57">
        <v>228438</v>
      </c>
      <c r="Q425" s="77">
        <v>0.4</v>
      </c>
      <c r="R425" s="57">
        <v>91375</v>
      </c>
      <c r="S425" s="57">
        <v>319813.49</v>
      </c>
      <c r="T425" s="106">
        <f>IF(A425="Upgrade",IF(OR(H425=4,H425=5),_xlfn.XLOOKUP(I425,'Renewal Rates'!$A$22:$A$27,'Renewal Rates'!$B$22:$B$27,'Renewal Rates'!$B$27,0),'Renewal Rates'!$F$7),IF(A425="Renewal",100%,0%))</f>
        <v>2.6599999999999999E-2</v>
      </c>
      <c r="U425" s="68">
        <f t="shared" si="6"/>
        <v>8507.038833999999</v>
      </c>
      <c r="V425" s="68"/>
    </row>
    <row r="426" spans="1:22" x14ac:dyDescent="0.3">
      <c r="A426" s="41" t="s">
        <v>21</v>
      </c>
      <c r="B426" s="51">
        <v>3.0539999999999998</v>
      </c>
      <c r="C426" s="58">
        <v>2000920470</v>
      </c>
      <c r="D426" s="86">
        <v>14.29</v>
      </c>
      <c r="E426" s="86"/>
      <c r="F426" s="52">
        <v>225</v>
      </c>
      <c r="G426" s="53">
        <v>600</v>
      </c>
      <c r="H426" s="52" t="s">
        <v>122</v>
      </c>
      <c r="I426" s="45" t="s">
        <v>122</v>
      </c>
      <c r="J426" s="41">
        <v>385</v>
      </c>
      <c r="K426" s="54" t="s">
        <v>23</v>
      </c>
      <c r="L426" s="54" t="s">
        <v>24</v>
      </c>
      <c r="M426" s="57">
        <v>77680</v>
      </c>
      <c r="N426" s="57">
        <v>5435</v>
      </c>
      <c r="O426" s="57">
        <v>26411</v>
      </c>
      <c r="P426" s="57">
        <v>104091</v>
      </c>
      <c r="Q426" s="77">
        <v>0.4</v>
      </c>
      <c r="R426" s="57">
        <v>41636</v>
      </c>
      <c r="S426" s="57">
        <v>145726.85</v>
      </c>
      <c r="T426" s="106">
        <f>IF(A426="Upgrade",IF(OR(H426=4,H426=5),_xlfn.XLOOKUP(I426,'Renewal Rates'!$A$22:$A$27,'Renewal Rates'!$B$22:$B$27,'Renewal Rates'!$B$27,0),'Renewal Rates'!$F$7),IF(A426="Renewal",100%,0%))</f>
        <v>2.6599999999999999E-2</v>
      </c>
      <c r="U426" s="68">
        <f t="shared" si="6"/>
        <v>3876.33421</v>
      </c>
      <c r="V426" s="68"/>
    </row>
    <row r="427" spans="1:22" x14ac:dyDescent="0.3">
      <c r="A427" s="41" t="s">
        <v>21</v>
      </c>
      <c r="B427" s="51">
        <v>3.044</v>
      </c>
      <c r="C427" s="58">
        <v>2000470862</v>
      </c>
      <c r="D427" s="86">
        <v>19.5</v>
      </c>
      <c r="E427" s="86"/>
      <c r="F427" s="52">
        <v>225</v>
      </c>
      <c r="G427" s="53">
        <v>825</v>
      </c>
      <c r="H427" s="52" t="s">
        <v>122</v>
      </c>
      <c r="I427" s="45" t="s">
        <v>122</v>
      </c>
      <c r="J427" s="41">
        <v>387</v>
      </c>
      <c r="K427" s="54" t="s">
        <v>23</v>
      </c>
      <c r="L427" s="54" t="s">
        <v>24</v>
      </c>
      <c r="M427" s="57">
        <v>117670</v>
      </c>
      <c r="N427" s="57">
        <v>6035</v>
      </c>
      <c r="O427" s="57">
        <v>40008</v>
      </c>
      <c r="P427" s="57">
        <v>157678</v>
      </c>
      <c r="Q427" s="77">
        <v>0.4</v>
      </c>
      <c r="R427" s="57">
        <v>63071</v>
      </c>
      <c r="S427" s="57">
        <v>220748.99</v>
      </c>
      <c r="T427" s="106">
        <f>IF(A427="Upgrade",IF(OR(H427=4,H427=5),_xlfn.XLOOKUP(I427,'Renewal Rates'!$A$22:$A$27,'Renewal Rates'!$B$22:$B$27,'Renewal Rates'!$B$27,0),'Renewal Rates'!$F$7),IF(A427="Renewal",100%,0%))</f>
        <v>2.6599999999999999E-2</v>
      </c>
      <c r="U427" s="68">
        <f t="shared" si="6"/>
        <v>5871.9231339999997</v>
      </c>
      <c r="V427" s="68"/>
    </row>
    <row r="428" spans="1:22" x14ac:dyDescent="0.3">
      <c r="A428" s="41" t="s">
        <v>21</v>
      </c>
      <c r="B428" s="51">
        <v>4.0049999999999999</v>
      </c>
      <c r="C428" s="58">
        <v>2000751335</v>
      </c>
      <c r="D428" s="86">
        <v>3.86</v>
      </c>
      <c r="E428" s="86"/>
      <c r="F428" s="52">
        <v>675</v>
      </c>
      <c r="G428" s="53">
        <v>975</v>
      </c>
      <c r="H428" s="52">
        <v>4</v>
      </c>
      <c r="I428" s="45">
        <v>1</v>
      </c>
      <c r="J428" s="41">
        <v>386</v>
      </c>
      <c r="K428" s="54" t="s">
        <v>23</v>
      </c>
      <c r="L428" s="54" t="s">
        <v>24</v>
      </c>
      <c r="M428" s="57">
        <v>74157</v>
      </c>
      <c r="N428" s="57">
        <v>19216</v>
      </c>
      <c r="O428" s="57">
        <v>25213</v>
      </c>
      <c r="P428" s="57">
        <v>99370</v>
      </c>
      <c r="Q428" s="77">
        <v>0.4</v>
      </c>
      <c r="R428" s="57">
        <v>39748</v>
      </c>
      <c r="S428" s="57">
        <v>139118.28</v>
      </c>
      <c r="T428" s="106">
        <f>IF(A428="Upgrade",IF(OR(H428=4,H428=5),_xlfn.XLOOKUP(I428,'Renewal Rates'!$A$22:$A$27,'Renewal Rates'!$B$22:$B$27,'Renewal Rates'!$B$27,0),'Renewal Rates'!$F$7),IF(A428="Renewal",100%,0%))</f>
        <v>0</v>
      </c>
      <c r="U428" s="68">
        <f t="shared" si="6"/>
        <v>0</v>
      </c>
      <c r="V428" s="68"/>
    </row>
    <row r="429" spans="1:22" x14ac:dyDescent="0.3">
      <c r="A429" s="41" t="s">
        <v>21</v>
      </c>
      <c r="B429" s="51">
        <v>1.0189999999999999</v>
      </c>
      <c r="C429" s="58">
        <v>2000827921</v>
      </c>
      <c r="D429" s="86">
        <v>108.93</v>
      </c>
      <c r="E429" s="86"/>
      <c r="F429" s="52">
        <v>450</v>
      </c>
      <c r="G429" s="53">
        <v>900</v>
      </c>
      <c r="H429" s="52" t="s">
        <v>122</v>
      </c>
      <c r="I429" s="45" t="s">
        <v>122</v>
      </c>
      <c r="J429" s="41">
        <v>385</v>
      </c>
      <c r="K429" s="54" t="s">
        <v>23</v>
      </c>
      <c r="L429" s="54" t="s">
        <v>24</v>
      </c>
      <c r="M429" s="57">
        <v>577914</v>
      </c>
      <c r="N429" s="57">
        <v>5305</v>
      </c>
      <c r="O429" s="57">
        <v>196491</v>
      </c>
      <c r="P429" s="57">
        <v>774405</v>
      </c>
      <c r="Q429" s="77">
        <v>0.4</v>
      </c>
      <c r="R429" s="57">
        <v>309762</v>
      </c>
      <c r="S429" s="57">
        <v>1084166.46</v>
      </c>
      <c r="T429" s="106">
        <f>IF(A429="Upgrade",IF(OR(H429=4,H429=5),_xlfn.XLOOKUP(I429,'Renewal Rates'!$A$22:$A$27,'Renewal Rates'!$B$22:$B$27,'Renewal Rates'!$B$27,0),'Renewal Rates'!$F$7),IF(A429="Renewal",100%,0%))</f>
        <v>2.6599999999999999E-2</v>
      </c>
      <c r="U429" s="68">
        <f t="shared" si="6"/>
        <v>28838.827835999997</v>
      </c>
      <c r="V429" s="68"/>
    </row>
    <row r="430" spans="1:22" x14ac:dyDescent="0.3">
      <c r="A430" s="41" t="s">
        <v>21</v>
      </c>
      <c r="B430" s="51">
        <v>4.008</v>
      </c>
      <c r="C430" s="58">
        <v>2000504830</v>
      </c>
      <c r="D430" s="86">
        <v>18.63</v>
      </c>
      <c r="E430" s="86"/>
      <c r="F430" s="52">
        <v>300</v>
      </c>
      <c r="G430" s="53">
        <v>975</v>
      </c>
      <c r="H430" s="52" t="s">
        <v>122</v>
      </c>
      <c r="I430" s="45" t="s">
        <v>122</v>
      </c>
      <c r="J430" s="41">
        <v>386</v>
      </c>
      <c r="K430" s="54" t="s">
        <v>23</v>
      </c>
      <c r="L430" s="54" t="s">
        <v>24</v>
      </c>
      <c r="M430" s="57">
        <v>140421</v>
      </c>
      <c r="N430" s="57">
        <v>9288</v>
      </c>
      <c r="O430" s="57">
        <v>47743</v>
      </c>
      <c r="P430" s="57">
        <v>188164</v>
      </c>
      <c r="Q430" s="77">
        <v>0.4</v>
      </c>
      <c r="R430" s="57">
        <v>75266</v>
      </c>
      <c r="S430" s="57">
        <v>263429.5</v>
      </c>
      <c r="T430" s="106">
        <f>IF(A430="Upgrade",IF(OR(H430=4,H430=5),_xlfn.XLOOKUP(I430,'Renewal Rates'!$A$22:$A$27,'Renewal Rates'!$B$22:$B$27,'Renewal Rates'!$B$27,0),'Renewal Rates'!$F$7),IF(A430="Renewal",100%,0%))</f>
        <v>2.6599999999999999E-2</v>
      </c>
      <c r="U430" s="68">
        <f t="shared" si="6"/>
        <v>7007.2246999999998</v>
      </c>
      <c r="V430" s="68"/>
    </row>
    <row r="431" spans="1:22" x14ac:dyDescent="0.3">
      <c r="A431" s="41" t="s">
        <v>21</v>
      </c>
      <c r="B431" s="51">
        <v>3.0459999999999998</v>
      </c>
      <c r="C431" s="58">
        <v>2000317962</v>
      </c>
      <c r="D431" s="86">
        <v>13.45</v>
      </c>
      <c r="E431" s="86"/>
      <c r="F431" s="52">
        <v>300</v>
      </c>
      <c r="G431" s="53">
        <v>975</v>
      </c>
      <c r="H431" s="52" t="s">
        <v>122</v>
      </c>
      <c r="I431" s="45" t="s">
        <v>122</v>
      </c>
      <c r="J431" s="41">
        <v>386</v>
      </c>
      <c r="K431" s="54" t="s">
        <v>23</v>
      </c>
      <c r="L431" s="54" t="s">
        <v>24</v>
      </c>
      <c r="M431" s="57">
        <v>114633</v>
      </c>
      <c r="N431" s="57">
        <v>8525</v>
      </c>
      <c r="O431" s="57">
        <v>38975</v>
      </c>
      <c r="P431" s="57">
        <v>153608</v>
      </c>
      <c r="Q431" s="77">
        <v>0.4</v>
      </c>
      <c r="R431" s="57">
        <v>61443</v>
      </c>
      <c r="S431" s="57">
        <v>215051.89</v>
      </c>
      <c r="T431" s="106">
        <f>IF(A431="Upgrade",IF(OR(H431=4,H431=5),_xlfn.XLOOKUP(I431,'Renewal Rates'!$A$22:$A$27,'Renewal Rates'!$B$22:$B$27,'Renewal Rates'!$B$27,0),'Renewal Rates'!$F$7),IF(A431="Renewal",100%,0%))</f>
        <v>2.6599999999999999E-2</v>
      </c>
      <c r="U431" s="68">
        <f t="shared" si="6"/>
        <v>5720.3802740000001</v>
      </c>
      <c r="V431" s="68"/>
    </row>
    <row r="432" spans="1:22" x14ac:dyDescent="0.3">
      <c r="A432" s="41" t="s">
        <v>21</v>
      </c>
      <c r="B432" s="51">
        <v>12.018000000000001</v>
      </c>
      <c r="C432" s="58">
        <v>2000684720</v>
      </c>
      <c r="D432" s="86">
        <v>42.63</v>
      </c>
      <c r="E432" s="86"/>
      <c r="F432" s="52">
        <v>450</v>
      </c>
      <c r="G432" s="53">
        <v>600</v>
      </c>
      <c r="H432" s="52" t="s">
        <v>122</v>
      </c>
      <c r="I432" s="45" t="s">
        <v>122</v>
      </c>
      <c r="J432" s="41">
        <v>377</v>
      </c>
      <c r="K432" s="54" t="s">
        <v>23</v>
      </c>
      <c r="L432" s="54" t="s">
        <v>24</v>
      </c>
      <c r="M432" s="57">
        <v>162242</v>
      </c>
      <c r="N432" s="57">
        <v>3806</v>
      </c>
      <c r="O432" s="57">
        <v>55162</v>
      </c>
      <c r="P432" s="57">
        <v>217404</v>
      </c>
      <c r="Q432" s="77">
        <v>0.4</v>
      </c>
      <c r="R432" s="57">
        <v>86961</v>
      </c>
      <c r="S432" s="57">
        <v>304365.11</v>
      </c>
      <c r="T432" s="106">
        <f>IF(A432="Upgrade",IF(OR(H432=4,H432=5),_xlfn.XLOOKUP(I432,'Renewal Rates'!$A$22:$A$27,'Renewal Rates'!$B$22:$B$27,'Renewal Rates'!$B$27,0),'Renewal Rates'!$F$7),IF(A432="Renewal",100%,0%))</f>
        <v>2.6599999999999999E-2</v>
      </c>
      <c r="U432" s="68">
        <f t="shared" si="6"/>
        <v>8096.1119259999996</v>
      </c>
      <c r="V432" s="68"/>
    </row>
    <row r="433" spans="1:22" x14ac:dyDescent="0.3">
      <c r="A433" s="41" t="s">
        <v>21</v>
      </c>
      <c r="B433" s="51">
        <v>2.0579999999999998</v>
      </c>
      <c r="C433" s="58">
        <v>2000297254</v>
      </c>
      <c r="D433" s="86">
        <v>18.43</v>
      </c>
      <c r="E433" s="86"/>
      <c r="F433" s="52">
        <v>300</v>
      </c>
      <c r="G433" s="53">
        <v>600</v>
      </c>
      <c r="H433" s="52" t="s">
        <v>122</v>
      </c>
      <c r="I433" s="45" t="s">
        <v>122</v>
      </c>
      <c r="J433" s="41">
        <v>385</v>
      </c>
      <c r="K433" s="54" t="s">
        <v>23</v>
      </c>
      <c r="L433" s="54" t="s">
        <v>24</v>
      </c>
      <c r="M433" s="57">
        <v>81953</v>
      </c>
      <c r="N433" s="57">
        <v>4448</v>
      </c>
      <c r="O433" s="57">
        <v>27864</v>
      </c>
      <c r="P433" s="57">
        <v>109817</v>
      </c>
      <c r="Q433" s="77">
        <v>0.4</v>
      </c>
      <c r="R433" s="57">
        <v>43927</v>
      </c>
      <c r="S433" s="57">
        <v>153743.37</v>
      </c>
      <c r="T433" s="106">
        <f>IF(A433="Upgrade",IF(OR(H433=4,H433=5),_xlfn.XLOOKUP(I433,'Renewal Rates'!$A$22:$A$27,'Renewal Rates'!$B$22:$B$27,'Renewal Rates'!$B$27,0),'Renewal Rates'!$F$7),IF(A433="Renewal",100%,0%))</f>
        <v>2.6599999999999999E-2</v>
      </c>
      <c r="U433" s="68">
        <f t="shared" si="6"/>
        <v>4089.5736419999998</v>
      </c>
      <c r="V433" s="68"/>
    </row>
    <row r="434" spans="1:22" x14ac:dyDescent="0.3">
      <c r="A434" s="41" t="s">
        <v>21</v>
      </c>
      <c r="B434" s="51" t="s">
        <v>22</v>
      </c>
      <c r="C434" s="58">
        <v>3000184293</v>
      </c>
      <c r="D434" s="86">
        <v>1.4800819999999999</v>
      </c>
      <c r="E434" s="86"/>
      <c r="F434" s="52">
        <v>300</v>
      </c>
      <c r="G434" s="53">
        <v>975</v>
      </c>
      <c r="H434" s="52" t="s">
        <v>122</v>
      </c>
      <c r="I434" s="45" t="s">
        <v>122</v>
      </c>
      <c r="J434" s="41">
        <v>386</v>
      </c>
      <c r="K434" s="54" t="s">
        <v>23</v>
      </c>
      <c r="L434" s="54" t="s">
        <v>24</v>
      </c>
      <c r="M434" s="57">
        <v>69742.711200000005</v>
      </c>
      <c r="N434" s="57">
        <v>47120.842799999999</v>
      </c>
      <c r="O434" s="57">
        <v>23712.521808000005</v>
      </c>
      <c r="P434" s="57">
        <v>93455.23300800001</v>
      </c>
      <c r="Q434" s="77">
        <v>0.4</v>
      </c>
      <c r="R434" s="57">
        <v>37382.093203200006</v>
      </c>
      <c r="S434" s="57">
        <v>130837.32621120001</v>
      </c>
      <c r="T434" s="106">
        <f>IF(A434="Upgrade",IF(OR(H434=4,H434=5),_xlfn.XLOOKUP(I434,'Renewal Rates'!$A$22:$A$27,'Renewal Rates'!$B$22:$B$27,'Renewal Rates'!$B$27,0),'Renewal Rates'!$F$7),IF(A434="Renewal",100%,0%))</f>
        <v>2.6599999999999999E-2</v>
      </c>
      <c r="U434" s="68">
        <f t="shared" si="6"/>
        <v>3480.2728772179203</v>
      </c>
      <c r="V434" s="68"/>
    </row>
    <row r="435" spans="1:22" x14ac:dyDescent="0.3">
      <c r="A435" s="41" t="s">
        <v>21</v>
      </c>
      <c r="B435" s="51">
        <v>3.0510000000000002</v>
      </c>
      <c r="C435" s="58">
        <v>2000042002</v>
      </c>
      <c r="D435" s="86">
        <v>54.74</v>
      </c>
      <c r="E435" s="86"/>
      <c r="F435" s="52">
        <v>225</v>
      </c>
      <c r="G435" s="53">
        <v>450</v>
      </c>
      <c r="H435" s="52" t="s">
        <v>122</v>
      </c>
      <c r="I435" s="45" t="s">
        <v>122</v>
      </c>
      <c r="J435" s="41">
        <v>386</v>
      </c>
      <c r="K435" s="54" t="s">
        <v>23</v>
      </c>
      <c r="L435" s="54" t="s">
        <v>24</v>
      </c>
      <c r="M435" s="57">
        <v>161057</v>
      </c>
      <c r="N435" s="57">
        <v>2942</v>
      </c>
      <c r="O435" s="57">
        <v>54759</v>
      </c>
      <c r="P435" s="57">
        <v>215816</v>
      </c>
      <c r="Q435" s="77">
        <v>0.4</v>
      </c>
      <c r="R435" s="57">
        <v>86327</v>
      </c>
      <c r="S435" s="57">
        <v>302142.90000000002</v>
      </c>
      <c r="T435" s="106">
        <f>IF(A435="Upgrade",IF(OR(H435=4,H435=5),_xlfn.XLOOKUP(I435,'Renewal Rates'!$A$22:$A$27,'Renewal Rates'!$B$22:$B$27,'Renewal Rates'!$B$27,0),'Renewal Rates'!$F$7),IF(A435="Renewal",100%,0%))</f>
        <v>2.6599999999999999E-2</v>
      </c>
      <c r="U435" s="68">
        <f t="shared" si="6"/>
        <v>8037.0011400000003</v>
      </c>
      <c r="V435" s="68"/>
    </row>
    <row r="436" spans="1:22" x14ac:dyDescent="0.3">
      <c r="A436" s="41" t="s">
        <v>21</v>
      </c>
      <c r="B436" s="51">
        <v>3.0550000000000002</v>
      </c>
      <c r="C436" s="58">
        <v>2000517949</v>
      </c>
      <c r="D436" s="86">
        <v>41.44</v>
      </c>
      <c r="E436" s="86"/>
      <c r="F436" s="52">
        <v>225</v>
      </c>
      <c r="G436" s="53">
        <v>750</v>
      </c>
      <c r="H436" s="52">
        <v>5</v>
      </c>
      <c r="I436" s="45">
        <v>2</v>
      </c>
      <c r="J436" s="41">
        <v>385</v>
      </c>
      <c r="K436" s="54" t="s">
        <v>23</v>
      </c>
      <c r="L436" s="54" t="s">
        <v>24</v>
      </c>
      <c r="M436" s="57">
        <v>207043</v>
      </c>
      <c r="N436" s="57">
        <v>4996</v>
      </c>
      <c r="O436" s="57">
        <v>70395</v>
      </c>
      <c r="P436" s="57">
        <v>277438</v>
      </c>
      <c r="Q436" s="77">
        <v>0.4</v>
      </c>
      <c r="R436" s="57">
        <v>110975</v>
      </c>
      <c r="S436" s="57">
        <v>388412.74</v>
      </c>
      <c r="T436" s="106">
        <f>IF(A436="Upgrade",IF(OR(H436=4,H436=5),_xlfn.XLOOKUP(I436,'Renewal Rates'!$A$22:$A$27,'Renewal Rates'!$B$22:$B$27,'Renewal Rates'!$B$27,0),'Renewal Rates'!$F$7),IF(A436="Renewal",100%,0%))</f>
        <v>0</v>
      </c>
      <c r="U436" s="68">
        <f t="shared" si="6"/>
        <v>0</v>
      </c>
      <c r="V436" s="68"/>
    </row>
    <row r="437" spans="1:22" x14ac:dyDescent="0.3">
      <c r="A437" s="41" t="s">
        <v>21</v>
      </c>
      <c r="B437" s="51">
        <v>4.008</v>
      </c>
      <c r="C437" s="58">
        <v>2000241550</v>
      </c>
      <c r="D437" s="86">
        <v>3.25</v>
      </c>
      <c r="E437" s="86"/>
      <c r="F437" s="52">
        <v>300</v>
      </c>
      <c r="G437" s="53">
        <v>975</v>
      </c>
      <c r="H437" s="52" t="s">
        <v>122</v>
      </c>
      <c r="I437" s="45" t="s">
        <v>122</v>
      </c>
      <c r="J437" s="41">
        <v>386</v>
      </c>
      <c r="K437" s="54" t="s">
        <v>23</v>
      </c>
      <c r="L437" s="54" t="s">
        <v>24</v>
      </c>
      <c r="M437" s="57">
        <v>73024</v>
      </c>
      <c r="N437" s="57">
        <v>22479</v>
      </c>
      <c r="O437" s="57">
        <v>24828</v>
      </c>
      <c r="P437" s="57">
        <v>97852</v>
      </c>
      <c r="Q437" s="77">
        <v>0.4</v>
      </c>
      <c r="R437" s="57">
        <v>39141</v>
      </c>
      <c r="S437" s="57">
        <v>136993.44</v>
      </c>
      <c r="T437" s="106">
        <f>IF(A437="Upgrade",IF(OR(H437=4,H437=5),_xlfn.XLOOKUP(I437,'Renewal Rates'!$A$22:$A$27,'Renewal Rates'!$B$22:$B$27,'Renewal Rates'!$B$27,0),'Renewal Rates'!$F$7),IF(A437="Renewal",100%,0%))</f>
        <v>2.6599999999999999E-2</v>
      </c>
      <c r="U437" s="68">
        <f t="shared" si="6"/>
        <v>3644.0255039999997</v>
      </c>
      <c r="V437" s="68"/>
    </row>
    <row r="438" spans="1:22" x14ac:dyDescent="0.3">
      <c r="A438" s="41" t="s">
        <v>21</v>
      </c>
      <c r="B438" s="51">
        <v>1.0109999999999999</v>
      </c>
      <c r="C438" s="58">
        <v>2000467474</v>
      </c>
      <c r="D438" s="86">
        <v>142.56845999999999</v>
      </c>
      <c r="E438" s="86"/>
      <c r="F438" s="52">
        <v>375</v>
      </c>
      <c r="G438" s="53">
        <v>825</v>
      </c>
      <c r="H438" s="52" t="s">
        <v>122</v>
      </c>
      <c r="I438" s="45" t="s">
        <v>122</v>
      </c>
      <c r="J438" s="41">
        <v>385</v>
      </c>
      <c r="K438" s="54" t="s">
        <v>23</v>
      </c>
      <c r="L438" s="54" t="s">
        <v>24</v>
      </c>
      <c r="M438" s="57">
        <v>625405</v>
      </c>
      <c r="N438" s="57">
        <v>4387</v>
      </c>
      <c r="O438" s="57">
        <v>212638</v>
      </c>
      <c r="P438" s="57">
        <v>838043</v>
      </c>
      <c r="Q438" s="77">
        <v>0.4</v>
      </c>
      <c r="R438" s="57">
        <v>335217</v>
      </c>
      <c r="S438" s="57">
        <v>1173259.96</v>
      </c>
      <c r="T438" s="106">
        <f>IF(A438="Upgrade",IF(OR(H438=4,H438=5),_xlfn.XLOOKUP(I438,'Renewal Rates'!$A$22:$A$27,'Renewal Rates'!$B$22:$B$27,'Renewal Rates'!$B$27,0),'Renewal Rates'!$F$7),IF(A438="Renewal",100%,0%))</f>
        <v>2.6599999999999999E-2</v>
      </c>
      <c r="U438" s="68">
        <f t="shared" si="6"/>
        <v>31208.714935999997</v>
      </c>
      <c r="V438" s="68"/>
    </row>
    <row r="439" spans="1:22" x14ac:dyDescent="0.3">
      <c r="A439" s="41" t="s">
        <v>21</v>
      </c>
      <c r="B439" s="51">
        <v>2.0129999999999999</v>
      </c>
      <c r="C439" s="58">
        <v>3000184635</v>
      </c>
      <c r="D439" s="86">
        <v>8.0117010000000004</v>
      </c>
      <c r="E439" s="86"/>
      <c r="F439" s="52">
        <v>225</v>
      </c>
      <c r="G439" s="53">
        <v>750</v>
      </c>
      <c r="H439" s="52" t="s">
        <v>122</v>
      </c>
      <c r="I439" s="45" t="s">
        <v>122</v>
      </c>
      <c r="J439" s="41">
        <v>385</v>
      </c>
      <c r="K439" s="54" t="s">
        <v>23</v>
      </c>
      <c r="L439" s="54" t="s">
        <v>24</v>
      </c>
      <c r="M439" s="57">
        <v>60440</v>
      </c>
      <c r="N439" s="57">
        <v>7544</v>
      </c>
      <c r="O439" s="57">
        <v>20550</v>
      </c>
      <c r="P439" s="57">
        <v>80990</v>
      </c>
      <c r="Q439" s="77">
        <v>0.4</v>
      </c>
      <c r="R439" s="57">
        <v>32396</v>
      </c>
      <c r="S439" s="57">
        <v>113386</v>
      </c>
      <c r="T439" s="106">
        <f>IF(A439="Upgrade",IF(OR(H439=4,H439=5),_xlfn.XLOOKUP(I439,'Renewal Rates'!$A$22:$A$27,'Renewal Rates'!$B$22:$B$27,'Renewal Rates'!$B$27,0),'Renewal Rates'!$F$7),IF(A439="Renewal",100%,0%))</f>
        <v>2.6599999999999999E-2</v>
      </c>
      <c r="U439" s="68">
        <f t="shared" si="6"/>
        <v>3016.0675999999999</v>
      </c>
      <c r="V439" s="68"/>
    </row>
    <row r="440" spans="1:22" x14ac:dyDescent="0.3">
      <c r="A440" s="41" t="s">
        <v>21</v>
      </c>
      <c r="B440" s="51">
        <v>6.0110000000000001</v>
      </c>
      <c r="C440" s="58">
        <v>2000039579</v>
      </c>
      <c r="D440" s="86">
        <v>60.804254</v>
      </c>
      <c r="E440" s="86"/>
      <c r="F440" s="52">
        <v>225</v>
      </c>
      <c r="G440" s="53">
        <v>1125</v>
      </c>
      <c r="H440" s="52" t="s">
        <v>122</v>
      </c>
      <c r="I440" s="45" t="s">
        <v>122</v>
      </c>
      <c r="J440" s="41">
        <v>387</v>
      </c>
      <c r="K440" s="54" t="s">
        <v>23</v>
      </c>
      <c r="L440" s="54" t="s">
        <v>24</v>
      </c>
      <c r="M440" s="57">
        <v>441226</v>
      </c>
      <c r="N440" s="57">
        <v>7257</v>
      </c>
      <c r="O440" s="57">
        <v>150017</v>
      </c>
      <c r="P440" s="57">
        <v>591243</v>
      </c>
      <c r="Q440" s="77">
        <v>0.4</v>
      </c>
      <c r="R440" s="57">
        <v>236497</v>
      </c>
      <c r="S440" s="57">
        <v>827740.67</v>
      </c>
      <c r="T440" s="106">
        <f>IF(A440="Upgrade",IF(OR(H440=4,H440=5),_xlfn.XLOOKUP(I440,'Renewal Rates'!$A$22:$A$27,'Renewal Rates'!$B$22:$B$27,'Renewal Rates'!$B$27,0),'Renewal Rates'!$F$7),IF(A440="Renewal",100%,0%))</f>
        <v>2.6599999999999999E-2</v>
      </c>
      <c r="U440" s="68">
        <f t="shared" si="6"/>
        <v>22017.901822</v>
      </c>
      <c r="V440" s="68"/>
    </row>
    <row r="441" spans="1:22" x14ac:dyDescent="0.3">
      <c r="A441" s="41" t="s">
        <v>21</v>
      </c>
      <c r="B441" s="51">
        <v>1.0169999999999999</v>
      </c>
      <c r="C441" s="58">
        <v>2000567122</v>
      </c>
      <c r="D441" s="86">
        <v>23.63</v>
      </c>
      <c r="E441" s="86"/>
      <c r="F441" s="52">
        <v>225</v>
      </c>
      <c r="G441" s="53">
        <v>750</v>
      </c>
      <c r="H441" s="52" t="s">
        <v>122</v>
      </c>
      <c r="I441" s="45" t="s">
        <v>122</v>
      </c>
      <c r="J441" s="41">
        <v>385</v>
      </c>
      <c r="K441" s="54" t="s">
        <v>23</v>
      </c>
      <c r="L441" s="54" t="s">
        <v>24</v>
      </c>
      <c r="M441" s="57">
        <v>107043</v>
      </c>
      <c r="N441" s="57">
        <v>4530</v>
      </c>
      <c r="O441" s="57">
        <v>40987</v>
      </c>
      <c r="P441" s="57">
        <v>161537</v>
      </c>
      <c r="Q441" s="77">
        <v>0.4</v>
      </c>
      <c r="R441" s="57">
        <v>64615</v>
      </c>
      <c r="S441" s="57">
        <v>226151.29929560001</v>
      </c>
      <c r="T441" s="106">
        <f>IF(A441="Upgrade",IF(OR(H441=4,H441=5),_xlfn.XLOOKUP(I441,'Renewal Rates'!$A$22:$A$27,'Renewal Rates'!$B$22:$B$27,'Renewal Rates'!$B$27,0),'Renewal Rates'!$F$7),IF(A441="Renewal",100%,0%))</f>
        <v>2.6599999999999999E-2</v>
      </c>
      <c r="U441" s="68">
        <f t="shared" si="6"/>
        <v>6015.62456126296</v>
      </c>
      <c r="V441" s="68"/>
    </row>
    <row r="442" spans="1:22" x14ac:dyDescent="0.3">
      <c r="A442" s="41" t="s">
        <v>21</v>
      </c>
      <c r="B442" s="51">
        <v>2.0339999999999998</v>
      </c>
      <c r="C442" s="58">
        <v>2000591373</v>
      </c>
      <c r="D442" s="86">
        <v>45.44</v>
      </c>
      <c r="E442" s="86"/>
      <c r="F442" s="52">
        <v>150</v>
      </c>
      <c r="G442" s="53">
        <v>525</v>
      </c>
      <c r="H442" s="52" t="s">
        <v>122</v>
      </c>
      <c r="I442" s="45" t="s">
        <v>122</v>
      </c>
      <c r="J442" s="41">
        <v>385</v>
      </c>
      <c r="K442" s="54" t="s">
        <v>23</v>
      </c>
      <c r="L442" s="54" t="s">
        <v>24</v>
      </c>
      <c r="M442" s="57">
        <v>141905</v>
      </c>
      <c r="N442" s="57">
        <v>3123</v>
      </c>
      <c r="O442" s="57">
        <v>48248</v>
      </c>
      <c r="P442" s="57">
        <v>190153</v>
      </c>
      <c r="Q442" s="77">
        <v>0.4</v>
      </c>
      <c r="R442" s="57">
        <v>76061</v>
      </c>
      <c r="S442" s="57">
        <v>266214.42</v>
      </c>
      <c r="T442" s="106">
        <f>IF(A442="Upgrade",IF(OR(H442=4,H442=5),_xlfn.XLOOKUP(I442,'Renewal Rates'!$A$22:$A$27,'Renewal Rates'!$B$22:$B$27,'Renewal Rates'!$B$27,0),'Renewal Rates'!$F$7),IF(A442="Renewal",100%,0%))</f>
        <v>2.6599999999999999E-2</v>
      </c>
      <c r="U442" s="68">
        <f t="shared" si="6"/>
        <v>7081.3035719999989</v>
      </c>
      <c r="V442" s="68"/>
    </row>
    <row r="443" spans="1:22" x14ac:dyDescent="0.3">
      <c r="A443" s="41" t="s">
        <v>21</v>
      </c>
      <c r="B443" s="51">
        <v>6.0110000000000001</v>
      </c>
      <c r="C443" s="58">
        <v>2000613884</v>
      </c>
      <c r="D443" s="86">
        <v>114.89</v>
      </c>
      <c r="E443" s="86"/>
      <c r="F443" s="52">
        <v>450</v>
      </c>
      <c r="G443" s="53">
        <v>1125</v>
      </c>
      <c r="H443" s="52" t="s">
        <v>122</v>
      </c>
      <c r="I443" s="45" t="s">
        <v>122</v>
      </c>
      <c r="J443" s="41">
        <v>387</v>
      </c>
      <c r="K443" s="54" t="s">
        <v>23</v>
      </c>
      <c r="L443" s="54" t="s">
        <v>24</v>
      </c>
      <c r="M443" s="57">
        <v>840673</v>
      </c>
      <c r="N443" s="57">
        <v>7317</v>
      </c>
      <c r="O443" s="57">
        <v>285829</v>
      </c>
      <c r="P443" s="57">
        <v>1126502</v>
      </c>
      <c r="Q443" s="77">
        <v>0.4</v>
      </c>
      <c r="R443" s="57">
        <v>450601</v>
      </c>
      <c r="S443" s="57">
        <v>1577103.22</v>
      </c>
      <c r="T443" s="106">
        <f>IF(A443="Upgrade",IF(OR(H443=4,H443=5),_xlfn.XLOOKUP(I443,'Renewal Rates'!$A$22:$A$27,'Renewal Rates'!$B$22:$B$27,'Renewal Rates'!$B$27,0),'Renewal Rates'!$F$7),IF(A443="Renewal",100%,0%))</f>
        <v>2.6599999999999999E-2</v>
      </c>
      <c r="U443" s="68">
        <f t="shared" si="6"/>
        <v>41950.945651999995</v>
      </c>
      <c r="V443" s="68"/>
    </row>
    <row r="444" spans="1:22" x14ac:dyDescent="0.3">
      <c r="A444" s="41" t="s">
        <v>21</v>
      </c>
      <c r="B444" s="51">
        <v>1.0129999999999999</v>
      </c>
      <c r="C444" s="58">
        <v>2000604018</v>
      </c>
      <c r="D444" s="86">
        <v>97.57</v>
      </c>
      <c r="E444" s="86"/>
      <c r="F444" s="52">
        <v>600</v>
      </c>
      <c r="G444" s="53">
        <v>1050</v>
      </c>
      <c r="H444" s="52" t="s">
        <v>122</v>
      </c>
      <c r="I444" s="45" t="s">
        <v>122</v>
      </c>
      <c r="J444" s="41">
        <v>385</v>
      </c>
      <c r="K444" s="54" t="s">
        <v>23</v>
      </c>
      <c r="L444" s="54" t="s">
        <v>24</v>
      </c>
      <c r="M444" s="57">
        <v>619722</v>
      </c>
      <c r="N444" s="57">
        <v>6352</v>
      </c>
      <c r="O444" s="57">
        <v>210706</v>
      </c>
      <c r="P444" s="57">
        <v>830428</v>
      </c>
      <c r="Q444" s="77">
        <v>0.4</v>
      </c>
      <c r="R444" s="57">
        <v>332171</v>
      </c>
      <c r="S444" s="57">
        <v>1162599.1100000001</v>
      </c>
      <c r="T444" s="106">
        <f>IF(A444="Upgrade",IF(OR(H444=4,H444=5),_xlfn.XLOOKUP(I444,'Renewal Rates'!$A$22:$A$27,'Renewal Rates'!$B$22:$B$27,'Renewal Rates'!$B$27,0),'Renewal Rates'!$F$7),IF(A444="Renewal",100%,0%))</f>
        <v>2.6599999999999999E-2</v>
      </c>
      <c r="U444" s="68">
        <f t="shared" si="6"/>
        <v>30925.136326</v>
      </c>
      <c r="V444" s="68"/>
    </row>
    <row r="445" spans="1:22" x14ac:dyDescent="0.3">
      <c r="A445" s="41" t="s">
        <v>21</v>
      </c>
      <c r="B445" s="51">
        <v>3.05</v>
      </c>
      <c r="C445" s="58">
        <v>2000130082</v>
      </c>
      <c r="D445" s="86">
        <v>29.75</v>
      </c>
      <c r="E445" s="86"/>
      <c r="F445" s="52">
        <v>225</v>
      </c>
      <c r="G445" s="53">
        <v>975</v>
      </c>
      <c r="H445" s="52" t="s">
        <v>122</v>
      </c>
      <c r="I445" s="45" t="s">
        <v>122</v>
      </c>
      <c r="J445" s="41">
        <v>386</v>
      </c>
      <c r="K445" s="54" t="s">
        <v>23</v>
      </c>
      <c r="L445" s="54" t="s">
        <v>24</v>
      </c>
      <c r="M445" s="57">
        <v>212939</v>
      </c>
      <c r="N445" s="57">
        <v>7158</v>
      </c>
      <c r="O445" s="57">
        <v>72399</v>
      </c>
      <c r="P445" s="57">
        <v>285338</v>
      </c>
      <c r="Q445" s="77">
        <v>0.4</v>
      </c>
      <c r="R445" s="57">
        <v>114135</v>
      </c>
      <c r="S445" s="57">
        <v>399473.73</v>
      </c>
      <c r="T445" s="106">
        <f>IF(A445="Upgrade",IF(OR(H445=4,H445=5),_xlfn.XLOOKUP(I445,'Renewal Rates'!$A$22:$A$27,'Renewal Rates'!$B$22:$B$27,'Renewal Rates'!$B$27,0),'Renewal Rates'!$F$7),IF(A445="Renewal",100%,0%))</f>
        <v>2.6599999999999999E-2</v>
      </c>
      <c r="U445" s="68">
        <f t="shared" si="6"/>
        <v>10626.001217999999</v>
      </c>
      <c r="V445" s="68"/>
    </row>
    <row r="446" spans="1:22" x14ac:dyDescent="0.3">
      <c r="A446" s="41" t="s">
        <v>21</v>
      </c>
      <c r="B446" s="51">
        <v>1.0109999999999999</v>
      </c>
      <c r="C446" s="58">
        <v>3000044891</v>
      </c>
      <c r="D446" s="86">
        <v>27.96</v>
      </c>
      <c r="E446" s="86"/>
      <c r="F446" s="52">
        <v>450</v>
      </c>
      <c r="G446" s="53">
        <v>825</v>
      </c>
      <c r="H446" s="52" t="s">
        <v>122</v>
      </c>
      <c r="I446" s="45" t="s">
        <v>122</v>
      </c>
      <c r="J446" s="41">
        <v>385</v>
      </c>
      <c r="K446" s="54" t="s">
        <v>23</v>
      </c>
      <c r="L446" s="54" t="s">
        <v>24</v>
      </c>
      <c r="M446" s="57">
        <v>149998</v>
      </c>
      <c r="N446" s="57">
        <v>5365</v>
      </c>
      <c r="O446" s="57">
        <v>50999</v>
      </c>
      <c r="P446" s="57">
        <v>200997</v>
      </c>
      <c r="Q446" s="77">
        <v>0.4</v>
      </c>
      <c r="R446" s="57">
        <v>80399</v>
      </c>
      <c r="S446" s="57">
        <v>281396.17</v>
      </c>
      <c r="T446" s="106">
        <f>IF(A446="Upgrade",IF(OR(H446=4,H446=5),_xlfn.XLOOKUP(I446,'Renewal Rates'!$A$22:$A$27,'Renewal Rates'!$B$22:$B$27,'Renewal Rates'!$B$27,0),'Renewal Rates'!$F$7),IF(A446="Renewal",100%,0%))</f>
        <v>2.6599999999999999E-2</v>
      </c>
      <c r="U446" s="68">
        <f t="shared" si="6"/>
        <v>7485.1381219999994</v>
      </c>
      <c r="V446" s="68"/>
    </row>
    <row r="447" spans="1:22" x14ac:dyDescent="0.3">
      <c r="A447" s="41" t="s">
        <v>21</v>
      </c>
      <c r="B447" s="51">
        <v>5.0019999999999998</v>
      </c>
      <c r="C447" s="58">
        <v>2000081960</v>
      </c>
      <c r="D447" s="86">
        <v>72.03</v>
      </c>
      <c r="E447" s="86"/>
      <c r="F447" s="52">
        <v>300</v>
      </c>
      <c r="G447" s="53">
        <v>900</v>
      </c>
      <c r="H447" s="52" t="s">
        <v>122</v>
      </c>
      <c r="I447" s="45" t="s">
        <v>122</v>
      </c>
      <c r="J447" s="41">
        <v>387</v>
      </c>
      <c r="K447" s="54" t="s">
        <v>23</v>
      </c>
      <c r="L447" s="54" t="s">
        <v>24</v>
      </c>
      <c r="M447" s="57">
        <v>401280</v>
      </c>
      <c r="N447" s="57">
        <v>5571</v>
      </c>
      <c r="O447" s="57">
        <v>136435</v>
      </c>
      <c r="P447" s="57">
        <v>537716</v>
      </c>
      <c r="Q447" s="77">
        <v>0.4</v>
      </c>
      <c r="R447" s="57">
        <v>215086</v>
      </c>
      <c r="S447" s="57">
        <v>752802.09</v>
      </c>
      <c r="T447" s="106">
        <f>IF(A447="Upgrade",IF(OR(H447=4,H447=5),_xlfn.XLOOKUP(I447,'Renewal Rates'!$A$22:$A$27,'Renewal Rates'!$B$22:$B$27,'Renewal Rates'!$B$27,0),'Renewal Rates'!$F$7),IF(A447="Renewal",100%,0%))</f>
        <v>2.6599999999999999E-2</v>
      </c>
      <c r="U447" s="68">
        <f t="shared" si="6"/>
        <v>20024.535593999997</v>
      </c>
      <c r="V447" s="68"/>
    </row>
    <row r="448" spans="1:22" x14ac:dyDescent="0.3">
      <c r="A448" s="41" t="s">
        <v>21</v>
      </c>
      <c r="B448" s="51">
        <v>4.0049999999999999</v>
      </c>
      <c r="C448" s="58">
        <v>3000103030</v>
      </c>
      <c r="D448" s="86">
        <v>35.416528</v>
      </c>
      <c r="E448" s="86"/>
      <c r="F448" s="52">
        <v>750</v>
      </c>
      <c r="G448" s="53">
        <v>975</v>
      </c>
      <c r="H448" s="52">
        <v>4</v>
      </c>
      <c r="I448" s="45">
        <v>5</v>
      </c>
      <c r="J448" s="41">
        <v>386</v>
      </c>
      <c r="K448" s="54" t="s">
        <v>23</v>
      </c>
      <c r="L448" s="54" t="s">
        <v>24</v>
      </c>
      <c r="M448" s="57">
        <v>223457</v>
      </c>
      <c r="N448" s="57">
        <v>6309</v>
      </c>
      <c r="O448" s="57">
        <v>75975</v>
      </c>
      <c r="P448" s="57">
        <v>299432</v>
      </c>
      <c r="Q448" s="77">
        <v>0.4</v>
      </c>
      <c r="R448" s="57">
        <v>119773</v>
      </c>
      <c r="S448" s="57">
        <v>419204.9</v>
      </c>
      <c r="T448" s="106">
        <f>IF(A448="Upgrade",IF(OR(H448=4,H448=5),_xlfn.XLOOKUP(I448,'Renewal Rates'!$A$22:$A$27,'Renewal Rates'!$B$22:$B$27,'Renewal Rates'!$B$27,0),'Renewal Rates'!$F$7),IF(A448="Renewal",100%,0%))</f>
        <v>0.7</v>
      </c>
      <c r="U448" s="68">
        <f t="shared" si="6"/>
        <v>293443.43</v>
      </c>
      <c r="V448" s="68"/>
    </row>
    <row r="449" spans="1:22" x14ac:dyDescent="0.3">
      <c r="A449" s="41" t="s">
        <v>21</v>
      </c>
      <c r="B449" s="51">
        <v>3.05</v>
      </c>
      <c r="C449" s="58">
        <v>2000080257</v>
      </c>
      <c r="D449" s="86">
        <v>68.87</v>
      </c>
      <c r="E449" s="86"/>
      <c r="F449" s="52">
        <v>300</v>
      </c>
      <c r="G449" s="53">
        <v>975</v>
      </c>
      <c r="H449" s="52" t="s">
        <v>122</v>
      </c>
      <c r="I449" s="45" t="s">
        <v>122</v>
      </c>
      <c r="J449" s="41">
        <v>386</v>
      </c>
      <c r="K449" s="54" t="s">
        <v>23</v>
      </c>
      <c r="L449" s="54" t="s">
        <v>24</v>
      </c>
      <c r="M449" s="57">
        <v>437655</v>
      </c>
      <c r="N449" s="57">
        <v>6355</v>
      </c>
      <c r="O449" s="57">
        <v>148803</v>
      </c>
      <c r="P449" s="57">
        <v>586458</v>
      </c>
      <c r="Q449" s="77">
        <v>0.4</v>
      </c>
      <c r="R449" s="57">
        <v>234583</v>
      </c>
      <c r="S449" s="57">
        <v>821041.47</v>
      </c>
      <c r="T449" s="106">
        <f>IF(A449="Upgrade",IF(OR(H449=4,H449=5),_xlfn.XLOOKUP(I449,'Renewal Rates'!$A$22:$A$27,'Renewal Rates'!$B$22:$B$27,'Renewal Rates'!$B$27,0),'Renewal Rates'!$F$7),IF(A449="Renewal",100%,0%))</f>
        <v>2.6599999999999999E-2</v>
      </c>
      <c r="U449" s="68">
        <f t="shared" si="6"/>
        <v>21839.703101999999</v>
      </c>
      <c r="V449" s="68"/>
    </row>
    <row r="450" spans="1:22" x14ac:dyDescent="0.3">
      <c r="A450" s="41" t="s">
        <v>21</v>
      </c>
      <c r="B450" s="51">
        <v>12.006</v>
      </c>
      <c r="C450" s="58">
        <v>2000510612</v>
      </c>
      <c r="D450" s="86">
        <v>53.29</v>
      </c>
      <c r="E450" s="86"/>
      <c r="F450" s="52">
        <v>750</v>
      </c>
      <c r="G450" s="53">
        <v>1275</v>
      </c>
      <c r="H450" s="52">
        <v>4</v>
      </c>
      <c r="I450" s="45">
        <v>3</v>
      </c>
      <c r="J450" s="41">
        <v>377</v>
      </c>
      <c r="K450" s="54" t="s">
        <v>23</v>
      </c>
      <c r="L450" s="54" t="s">
        <v>24</v>
      </c>
      <c r="M450" s="57">
        <v>362987</v>
      </c>
      <c r="N450" s="57">
        <v>6812</v>
      </c>
      <c r="O450" s="57">
        <v>123415</v>
      </c>
      <c r="P450" s="57">
        <v>486402</v>
      </c>
      <c r="Q450" s="77">
        <v>0.4</v>
      </c>
      <c r="R450" s="57">
        <v>194561</v>
      </c>
      <c r="S450" s="57">
        <v>680962.84</v>
      </c>
      <c r="T450" s="106">
        <f>IF(A450="Upgrade",IF(OR(H450=4,H450=5),_xlfn.XLOOKUP(I450,'Renewal Rates'!$A$22:$A$27,'Renewal Rates'!$B$22:$B$27,'Renewal Rates'!$B$27,0),'Renewal Rates'!$F$7),IF(A450="Renewal",100%,0%))</f>
        <v>0.21</v>
      </c>
      <c r="U450" s="68">
        <f t="shared" si="6"/>
        <v>143002.19639999999</v>
      </c>
      <c r="V450" s="68"/>
    </row>
    <row r="451" spans="1:22" x14ac:dyDescent="0.3">
      <c r="A451" s="41" t="s">
        <v>21</v>
      </c>
      <c r="B451" s="51">
        <v>2.0129999999999999</v>
      </c>
      <c r="C451" s="58">
        <v>2000220933</v>
      </c>
      <c r="D451" s="86">
        <v>63.06</v>
      </c>
      <c r="E451" s="86"/>
      <c r="F451" s="52">
        <v>225</v>
      </c>
      <c r="G451" s="53">
        <v>750</v>
      </c>
      <c r="H451" s="52" t="s">
        <v>122</v>
      </c>
      <c r="I451" s="45" t="s">
        <v>122</v>
      </c>
      <c r="J451" s="41">
        <v>385</v>
      </c>
      <c r="K451" s="54" t="s">
        <v>23</v>
      </c>
      <c r="L451" s="54" t="s">
        <v>24</v>
      </c>
      <c r="M451" s="57">
        <v>276411</v>
      </c>
      <c r="N451" s="57">
        <v>4383</v>
      </c>
      <c r="O451" s="57">
        <v>93980</v>
      </c>
      <c r="P451" s="57">
        <v>370390</v>
      </c>
      <c r="Q451" s="77">
        <v>0.4</v>
      </c>
      <c r="R451" s="57">
        <v>148156</v>
      </c>
      <c r="S451" s="57">
        <v>518546.39</v>
      </c>
      <c r="T451" s="106">
        <f>IF(A451="Upgrade",IF(OR(H451=4,H451=5),_xlfn.XLOOKUP(I451,'Renewal Rates'!$A$22:$A$27,'Renewal Rates'!$B$22:$B$27,'Renewal Rates'!$B$27,0),'Renewal Rates'!$F$7),IF(A451="Renewal",100%,0%))</f>
        <v>2.6599999999999999E-2</v>
      </c>
      <c r="U451" s="68">
        <f t="shared" si="6"/>
        <v>13793.333973999999</v>
      </c>
      <c r="V451" s="68"/>
    </row>
    <row r="452" spans="1:22" x14ac:dyDescent="0.3">
      <c r="A452" s="41" t="s">
        <v>21</v>
      </c>
      <c r="B452" s="51">
        <v>4.01</v>
      </c>
      <c r="C452" s="58">
        <v>2000798957</v>
      </c>
      <c r="D452" s="86">
        <v>5.63</v>
      </c>
      <c r="E452" s="86"/>
      <c r="F452" s="52">
        <v>600</v>
      </c>
      <c r="G452" s="53">
        <v>825</v>
      </c>
      <c r="H452" s="52">
        <v>4</v>
      </c>
      <c r="I452" s="45">
        <v>2</v>
      </c>
      <c r="J452" s="41">
        <v>386</v>
      </c>
      <c r="K452" s="54" t="s">
        <v>23</v>
      </c>
      <c r="L452" s="54" t="s">
        <v>24</v>
      </c>
      <c r="M452" s="57">
        <v>57658</v>
      </c>
      <c r="N452" s="57">
        <v>10244</v>
      </c>
      <c r="O452" s="57">
        <v>19604</v>
      </c>
      <c r="P452" s="57">
        <v>77261</v>
      </c>
      <c r="Q452" s="77">
        <v>0.4</v>
      </c>
      <c r="R452" s="57">
        <v>30905</v>
      </c>
      <c r="S452" s="57">
        <v>108165.73</v>
      </c>
      <c r="T452" s="106">
        <f>IF(A452="Upgrade",IF(OR(H452=4,H452=5),_xlfn.XLOOKUP(I452,'Renewal Rates'!$A$22:$A$27,'Renewal Rates'!$B$22:$B$27,'Renewal Rates'!$B$27,0),'Renewal Rates'!$F$7),IF(A452="Renewal",100%,0%))</f>
        <v>0</v>
      </c>
      <c r="U452" s="68">
        <f t="shared" ref="U452:U515" si="7">S452*T452</f>
        <v>0</v>
      </c>
      <c r="V452" s="68"/>
    </row>
    <row r="453" spans="1:22" x14ac:dyDescent="0.3">
      <c r="A453" s="41" t="s">
        <v>21</v>
      </c>
      <c r="B453" s="51">
        <v>4.008</v>
      </c>
      <c r="C453" s="58">
        <v>2000062149</v>
      </c>
      <c r="D453" s="86">
        <v>74.41</v>
      </c>
      <c r="E453" s="86"/>
      <c r="F453" s="52">
        <v>375</v>
      </c>
      <c r="G453" s="53">
        <v>975</v>
      </c>
      <c r="H453" s="52" t="s">
        <v>122</v>
      </c>
      <c r="I453" s="45" t="s">
        <v>122</v>
      </c>
      <c r="J453" s="41">
        <v>386</v>
      </c>
      <c r="K453" s="54" t="s">
        <v>23</v>
      </c>
      <c r="L453" s="54" t="s">
        <v>24</v>
      </c>
      <c r="M453" s="57">
        <v>470625</v>
      </c>
      <c r="N453" s="57">
        <v>6325</v>
      </c>
      <c r="O453" s="57">
        <v>160013</v>
      </c>
      <c r="P453" s="57">
        <v>630638</v>
      </c>
      <c r="Q453" s="77">
        <v>0.4</v>
      </c>
      <c r="R453" s="57">
        <v>252255</v>
      </c>
      <c r="S453" s="57">
        <v>882893.08</v>
      </c>
      <c r="T453" s="106">
        <f>IF(A453="Upgrade",IF(OR(H453=4,H453=5),_xlfn.XLOOKUP(I453,'Renewal Rates'!$A$22:$A$27,'Renewal Rates'!$B$22:$B$27,'Renewal Rates'!$B$27,0),'Renewal Rates'!$F$7),IF(A453="Renewal",100%,0%))</f>
        <v>2.6599999999999999E-2</v>
      </c>
      <c r="U453" s="68">
        <f t="shared" si="7"/>
        <v>23484.955927999999</v>
      </c>
      <c r="V453" s="68"/>
    </row>
    <row r="454" spans="1:22" x14ac:dyDescent="0.3">
      <c r="A454" s="41" t="s">
        <v>21</v>
      </c>
      <c r="B454" s="51">
        <v>3.0630000000000002</v>
      </c>
      <c r="C454" s="58">
        <v>2000337821</v>
      </c>
      <c r="D454" s="86">
        <v>95.48</v>
      </c>
      <c r="E454" s="86"/>
      <c r="F454" s="52">
        <v>225</v>
      </c>
      <c r="G454" s="53">
        <v>750</v>
      </c>
      <c r="H454" s="52" t="s">
        <v>122</v>
      </c>
      <c r="I454" s="45" t="s">
        <v>122</v>
      </c>
      <c r="J454" s="41">
        <v>386</v>
      </c>
      <c r="K454" s="54" t="s">
        <v>23</v>
      </c>
      <c r="L454" s="54" t="s">
        <v>24</v>
      </c>
      <c r="M454" s="57">
        <v>398242</v>
      </c>
      <c r="N454" s="57">
        <v>4171</v>
      </c>
      <c r="O454" s="57">
        <v>135402</v>
      </c>
      <c r="P454" s="57">
        <v>533645</v>
      </c>
      <c r="Q454" s="77">
        <v>0.4</v>
      </c>
      <c r="R454" s="57">
        <v>213458</v>
      </c>
      <c r="S454" s="57">
        <v>747102.74</v>
      </c>
      <c r="T454" s="106">
        <f>IF(A454="Upgrade",IF(OR(H454=4,H454=5),_xlfn.XLOOKUP(I454,'Renewal Rates'!$A$22:$A$27,'Renewal Rates'!$B$22:$B$27,'Renewal Rates'!$B$27,0),'Renewal Rates'!$F$7),IF(A454="Renewal",100%,0%))</f>
        <v>2.6599999999999999E-2</v>
      </c>
      <c r="U454" s="68">
        <f t="shared" si="7"/>
        <v>19872.932883999998</v>
      </c>
      <c r="V454" s="68"/>
    </row>
    <row r="455" spans="1:22" x14ac:dyDescent="0.3">
      <c r="A455" s="41" t="s">
        <v>21</v>
      </c>
      <c r="B455" s="51">
        <v>12.006</v>
      </c>
      <c r="C455" s="58">
        <v>2000126657</v>
      </c>
      <c r="D455" s="86">
        <v>41.08</v>
      </c>
      <c r="E455" s="86"/>
      <c r="F455" s="52">
        <v>750</v>
      </c>
      <c r="G455" s="53">
        <v>1275</v>
      </c>
      <c r="H455" s="52" t="s">
        <v>122</v>
      </c>
      <c r="I455" s="45" t="s">
        <v>122</v>
      </c>
      <c r="J455" s="41">
        <v>377</v>
      </c>
      <c r="K455" s="54" t="s">
        <v>23</v>
      </c>
      <c r="L455" s="54" t="s">
        <v>24</v>
      </c>
      <c r="M455" s="57">
        <v>288892</v>
      </c>
      <c r="N455" s="57">
        <v>7032</v>
      </c>
      <c r="O455" s="57">
        <v>98223</v>
      </c>
      <c r="P455" s="57">
        <v>387115</v>
      </c>
      <c r="Q455" s="77">
        <v>0.4</v>
      </c>
      <c r="R455" s="57">
        <v>154846</v>
      </c>
      <c r="S455" s="57">
        <v>541960.76</v>
      </c>
      <c r="T455" s="106">
        <f>IF(A455="Upgrade",IF(OR(H455=4,H455=5),_xlfn.XLOOKUP(I455,'Renewal Rates'!$A$22:$A$27,'Renewal Rates'!$B$22:$B$27,'Renewal Rates'!$B$27,0),'Renewal Rates'!$F$7),IF(A455="Renewal",100%,0%))</f>
        <v>2.6599999999999999E-2</v>
      </c>
      <c r="U455" s="68">
        <f t="shared" si="7"/>
        <v>14416.156215999999</v>
      </c>
      <c r="V455" s="68"/>
    </row>
    <row r="456" spans="1:22" x14ac:dyDescent="0.3">
      <c r="A456" s="41" t="s">
        <v>21</v>
      </c>
      <c r="B456" s="51">
        <v>1.0109999999999999</v>
      </c>
      <c r="C456" s="58">
        <v>2000779227</v>
      </c>
      <c r="D456" s="86">
        <v>10.96</v>
      </c>
      <c r="E456" s="86"/>
      <c r="F456" s="52">
        <v>375</v>
      </c>
      <c r="G456" s="53">
        <v>825</v>
      </c>
      <c r="H456" s="52" t="s">
        <v>122</v>
      </c>
      <c r="I456" s="45" t="s">
        <v>122</v>
      </c>
      <c r="J456" s="41">
        <v>385</v>
      </c>
      <c r="K456" s="54" t="s">
        <v>23</v>
      </c>
      <c r="L456" s="54" t="s">
        <v>24</v>
      </c>
      <c r="M456" s="57">
        <v>85215</v>
      </c>
      <c r="N456" s="57">
        <v>7778</v>
      </c>
      <c r="O456" s="57">
        <v>28973</v>
      </c>
      <c r="P456" s="57">
        <v>114189</v>
      </c>
      <c r="Q456" s="77">
        <v>0.4</v>
      </c>
      <c r="R456" s="57">
        <v>45675</v>
      </c>
      <c r="S456" s="57">
        <v>159864.18</v>
      </c>
      <c r="T456" s="106">
        <f>IF(A456="Upgrade",IF(OR(H456=4,H456=5),_xlfn.XLOOKUP(I456,'Renewal Rates'!$A$22:$A$27,'Renewal Rates'!$B$22:$B$27,'Renewal Rates'!$B$27,0),'Renewal Rates'!$F$7),IF(A456="Renewal",100%,0%))</f>
        <v>2.6599999999999999E-2</v>
      </c>
      <c r="U456" s="68">
        <f t="shared" si="7"/>
        <v>4252.3871879999997</v>
      </c>
      <c r="V456" s="68"/>
    </row>
    <row r="457" spans="1:22" x14ac:dyDescent="0.3">
      <c r="A457" s="41" t="s">
        <v>21</v>
      </c>
      <c r="B457" s="51">
        <v>1.0169999999999999</v>
      </c>
      <c r="C457" s="58">
        <v>2000078112</v>
      </c>
      <c r="D457" s="86">
        <v>31.05</v>
      </c>
      <c r="E457" s="86"/>
      <c r="F457" s="52">
        <v>225</v>
      </c>
      <c r="G457" s="53">
        <v>750</v>
      </c>
      <c r="H457" s="52" t="s">
        <v>122</v>
      </c>
      <c r="I457" s="45" t="s">
        <v>122</v>
      </c>
      <c r="J457" s="41">
        <v>385</v>
      </c>
      <c r="K457" s="54" t="s">
        <v>23</v>
      </c>
      <c r="L457" s="54" t="s">
        <v>24</v>
      </c>
      <c r="M457" s="57">
        <v>114803</v>
      </c>
      <c r="N457" s="57">
        <v>3698</v>
      </c>
      <c r="O457" s="57">
        <v>51026</v>
      </c>
      <c r="P457" s="57">
        <v>201102</v>
      </c>
      <c r="Q457" s="77">
        <v>0.4</v>
      </c>
      <c r="R457" s="57">
        <v>80441</v>
      </c>
      <c r="S457" s="57">
        <v>281543.36654640001</v>
      </c>
      <c r="T457" s="106">
        <f>IF(A457="Upgrade",IF(OR(H457=4,H457=5),_xlfn.XLOOKUP(I457,'Renewal Rates'!$A$22:$A$27,'Renewal Rates'!$B$22:$B$27,'Renewal Rates'!$B$27,0),'Renewal Rates'!$F$7),IF(A457="Renewal",100%,0%))</f>
        <v>2.6599999999999999E-2</v>
      </c>
      <c r="U457" s="68">
        <f t="shared" si="7"/>
        <v>7489.0535501342401</v>
      </c>
      <c r="V457" s="68"/>
    </row>
    <row r="458" spans="1:22" x14ac:dyDescent="0.3">
      <c r="A458" s="41" t="s">
        <v>21</v>
      </c>
      <c r="B458" s="51">
        <v>4.008</v>
      </c>
      <c r="C458" s="58">
        <v>2000965216</v>
      </c>
      <c r="D458" s="86">
        <v>19.182603</v>
      </c>
      <c r="E458" s="86"/>
      <c r="F458" s="52">
        <v>375</v>
      </c>
      <c r="G458" s="53">
        <v>975</v>
      </c>
      <c r="H458" s="52" t="s">
        <v>122</v>
      </c>
      <c r="I458" s="45" t="s">
        <v>122</v>
      </c>
      <c r="J458" s="41">
        <v>386</v>
      </c>
      <c r="K458" s="54" t="s">
        <v>23</v>
      </c>
      <c r="L458" s="54" t="s">
        <v>24</v>
      </c>
      <c r="M458" s="57">
        <v>146509</v>
      </c>
      <c r="N458" s="57">
        <v>7963</v>
      </c>
      <c r="O458" s="57">
        <v>49813</v>
      </c>
      <c r="P458" s="57">
        <v>196323</v>
      </c>
      <c r="Q458" s="77">
        <v>0.4</v>
      </c>
      <c r="R458" s="57">
        <v>78529</v>
      </c>
      <c r="S458" s="57">
        <v>274851.8</v>
      </c>
      <c r="T458" s="106">
        <f>IF(A458="Upgrade",IF(OR(H458=4,H458=5),_xlfn.XLOOKUP(I458,'Renewal Rates'!$A$22:$A$27,'Renewal Rates'!$B$22:$B$27,'Renewal Rates'!$B$27,0),'Renewal Rates'!$F$7),IF(A458="Renewal",100%,0%))</f>
        <v>2.6599999999999999E-2</v>
      </c>
      <c r="U458" s="68">
        <f t="shared" si="7"/>
        <v>7311.0578799999994</v>
      </c>
      <c r="V458" s="68"/>
    </row>
    <row r="459" spans="1:22" x14ac:dyDescent="0.3">
      <c r="A459" s="41" t="s">
        <v>21</v>
      </c>
      <c r="B459" s="51">
        <v>1.018</v>
      </c>
      <c r="C459" s="58">
        <v>2000362737</v>
      </c>
      <c r="D459" s="86">
        <v>17.45</v>
      </c>
      <c r="E459" s="86"/>
      <c r="F459" s="52">
        <v>300</v>
      </c>
      <c r="G459" s="53">
        <v>600</v>
      </c>
      <c r="H459" s="52" t="s">
        <v>122</v>
      </c>
      <c r="I459" s="45" t="s">
        <v>122</v>
      </c>
      <c r="J459" s="41">
        <v>385</v>
      </c>
      <c r="K459" s="54" t="s">
        <v>23</v>
      </c>
      <c r="L459" s="54" t="s">
        <v>24</v>
      </c>
      <c r="M459" s="57">
        <v>80941</v>
      </c>
      <c r="N459" s="57">
        <v>4639</v>
      </c>
      <c r="O459" s="57">
        <v>27520</v>
      </c>
      <c r="P459" s="57">
        <v>108460</v>
      </c>
      <c r="Q459" s="77">
        <v>0.4</v>
      </c>
      <c r="R459" s="57">
        <v>43384</v>
      </c>
      <c r="S459" s="57">
        <v>151844.4</v>
      </c>
      <c r="T459" s="106">
        <f>IF(A459="Upgrade",IF(OR(H459=4,H459=5),_xlfn.XLOOKUP(I459,'Renewal Rates'!$A$22:$A$27,'Renewal Rates'!$B$22:$B$27,'Renewal Rates'!$B$27,0),'Renewal Rates'!$F$7),IF(A459="Renewal",100%,0%))</f>
        <v>2.6599999999999999E-2</v>
      </c>
      <c r="U459" s="68">
        <f t="shared" si="7"/>
        <v>4039.0610399999996</v>
      </c>
      <c r="V459" s="68"/>
    </row>
    <row r="460" spans="1:22" x14ac:dyDescent="0.3">
      <c r="A460" s="41" t="s">
        <v>21</v>
      </c>
      <c r="B460" s="51">
        <v>2.06</v>
      </c>
      <c r="C460" s="58">
        <v>2000014482</v>
      </c>
      <c r="D460" s="86">
        <v>62.67</v>
      </c>
      <c r="E460" s="86"/>
      <c r="F460" s="52">
        <v>450</v>
      </c>
      <c r="G460" s="53">
        <v>825</v>
      </c>
      <c r="H460" s="52" t="s">
        <v>122</v>
      </c>
      <c r="I460" s="45" t="s">
        <v>122</v>
      </c>
      <c r="J460" s="41">
        <v>385</v>
      </c>
      <c r="K460" s="54" t="s">
        <v>23</v>
      </c>
      <c r="L460" s="54" t="s">
        <v>24</v>
      </c>
      <c r="M460" s="57">
        <v>304678</v>
      </c>
      <c r="N460" s="57">
        <v>4862</v>
      </c>
      <c r="O460" s="57">
        <v>103590</v>
      </c>
      <c r="P460" s="57">
        <v>408268</v>
      </c>
      <c r="Q460" s="77">
        <v>0.4</v>
      </c>
      <c r="R460" s="57">
        <v>163307</v>
      </c>
      <c r="S460" s="57">
        <v>571575.56000000006</v>
      </c>
      <c r="T460" s="106">
        <f>IF(A460="Upgrade",IF(OR(H460=4,H460=5),_xlfn.XLOOKUP(I460,'Renewal Rates'!$A$22:$A$27,'Renewal Rates'!$B$22:$B$27,'Renewal Rates'!$B$27,0),'Renewal Rates'!$F$7),IF(A460="Renewal",100%,0%))</f>
        <v>2.6599999999999999E-2</v>
      </c>
      <c r="U460" s="68">
        <f t="shared" si="7"/>
        <v>15203.909896000001</v>
      </c>
      <c r="V460" s="68"/>
    </row>
    <row r="461" spans="1:22" x14ac:dyDescent="0.3">
      <c r="A461" s="41" t="s">
        <v>21</v>
      </c>
      <c r="B461" s="51">
        <v>6.0090000000000003</v>
      </c>
      <c r="C461" s="58">
        <v>2000015552</v>
      </c>
      <c r="D461" s="86">
        <v>50.63</v>
      </c>
      <c r="E461" s="86"/>
      <c r="F461" s="52">
        <v>375</v>
      </c>
      <c r="G461" s="53">
        <v>825</v>
      </c>
      <c r="H461" s="52" t="s">
        <v>122</v>
      </c>
      <c r="I461" s="45" t="s">
        <v>122</v>
      </c>
      <c r="J461" s="41">
        <v>387</v>
      </c>
      <c r="K461" s="54" t="s">
        <v>23</v>
      </c>
      <c r="L461" s="54" t="s">
        <v>24</v>
      </c>
      <c r="M461" s="57">
        <v>247446</v>
      </c>
      <c r="N461" s="57">
        <v>4888</v>
      </c>
      <c r="O461" s="57">
        <v>84132</v>
      </c>
      <c r="P461" s="57">
        <v>331578</v>
      </c>
      <c r="Q461" s="77">
        <v>0.4</v>
      </c>
      <c r="R461" s="57">
        <v>132631</v>
      </c>
      <c r="S461" s="57">
        <v>464209.27</v>
      </c>
      <c r="T461" s="106">
        <f>IF(A461="Upgrade",IF(OR(H461=4,H461=5),_xlfn.XLOOKUP(I461,'Renewal Rates'!$A$22:$A$27,'Renewal Rates'!$B$22:$B$27,'Renewal Rates'!$B$27,0),'Renewal Rates'!$F$7),IF(A461="Renewal",100%,0%))</f>
        <v>2.6599999999999999E-2</v>
      </c>
      <c r="U461" s="68">
        <f t="shared" si="7"/>
        <v>12347.966581999999</v>
      </c>
      <c r="V461" s="68"/>
    </row>
    <row r="462" spans="1:22" x14ac:dyDescent="0.3">
      <c r="A462" s="41" t="s">
        <v>21</v>
      </c>
      <c r="B462" s="51">
        <v>11.022</v>
      </c>
      <c r="C462" s="58">
        <v>2000969508</v>
      </c>
      <c r="D462" s="86">
        <v>105.67</v>
      </c>
      <c r="E462" s="86"/>
      <c r="F462" s="52">
        <v>375</v>
      </c>
      <c r="G462" s="53">
        <v>825</v>
      </c>
      <c r="H462" s="52" t="s">
        <v>122</v>
      </c>
      <c r="I462" s="45" t="s">
        <v>122</v>
      </c>
      <c r="J462" s="41">
        <v>377</v>
      </c>
      <c r="K462" s="54" t="s">
        <v>23</v>
      </c>
      <c r="L462" s="54" t="s">
        <v>24</v>
      </c>
      <c r="M462" s="57">
        <v>514817</v>
      </c>
      <c r="N462" s="57">
        <v>4872</v>
      </c>
      <c r="O462" s="57">
        <v>175038</v>
      </c>
      <c r="P462" s="57">
        <v>689855</v>
      </c>
      <c r="Q462" s="77">
        <v>0.4</v>
      </c>
      <c r="R462" s="57">
        <v>275942</v>
      </c>
      <c r="S462" s="57">
        <v>965797.61</v>
      </c>
      <c r="T462" s="106">
        <f>IF(A462="Upgrade",IF(OR(H462=4,H462=5),_xlfn.XLOOKUP(I462,'Renewal Rates'!$A$22:$A$27,'Renewal Rates'!$B$22:$B$27,'Renewal Rates'!$B$27,0),'Renewal Rates'!$F$7),IF(A462="Renewal",100%,0%))</f>
        <v>2.6599999999999999E-2</v>
      </c>
      <c r="U462" s="68">
        <f t="shared" si="7"/>
        <v>25690.216425999999</v>
      </c>
      <c r="V462" s="68"/>
    </row>
    <row r="463" spans="1:22" x14ac:dyDescent="0.3">
      <c r="A463" s="41" t="s">
        <v>21</v>
      </c>
      <c r="B463" s="51">
        <v>1.0209999999999999</v>
      </c>
      <c r="C463" s="58">
        <v>2000041168</v>
      </c>
      <c r="D463" s="86">
        <v>15.56</v>
      </c>
      <c r="E463" s="86"/>
      <c r="F463" s="52">
        <v>450</v>
      </c>
      <c r="G463" s="53">
        <v>1050</v>
      </c>
      <c r="H463" s="52" t="s">
        <v>122</v>
      </c>
      <c r="I463" s="45" t="s">
        <v>122</v>
      </c>
      <c r="J463" s="41">
        <v>385</v>
      </c>
      <c r="K463" s="54" t="s">
        <v>23</v>
      </c>
      <c r="L463" s="54" t="s">
        <v>24</v>
      </c>
      <c r="M463" s="57">
        <v>143386</v>
      </c>
      <c r="N463" s="57">
        <v>9212</v>
      </c>
      <c r="O463" s="57">
        <v>48751</v>
      </c>
      <c r="P463" s="57">
        <v>192138</v>
      </c>
      <c r="Q463" s="77">
        <v>0.4</v>
      </c>
      <c r="R463" s="57">
        <v>76855</v>
      </c>
      <c r="S463" s="57">
        <v>268992.64000000001</v>
      </c>
      <c r="T463" s="106">
        <f>IF(A463="Upgrade",IF(OR(H463=4,H463=5),_xlfn.XLOOKUP(I463,'Renewal Rates'!$A$22:$A$27,'Renewal Rates'!$B$22:$B$27,'Renewal Rates'!$B$27,0),'Renewal Rates'!$F$7),IF(A463="Renewal",100%,0%))</f>
        <v>2.6599999999999999E-2</v>
      </c>
      <c r="U463" s="68">
        <f t="shared" si="7"/>
        <v>7155.2042240000001</v>
      </c>
      <c r="V463" s="68"/>
    </row>
    <row r="464" spans="1:22" x14ac:dyDescent="0.3">
      <c r="A464" s="41" t="s">
        <v>21</v>
      </c>
      <c r="B464" s="51">
        <v>5.01</v>
      </c>
      <c r="C464" s="58">
        <v>2000560330</v>
      </c>
      <c r="D464" s="86">
        <v>78.459999999999994</v>
      </c>
      <c r="E464" s="86"/>
      <c r="F464" s="52">
        <v>450</v>
      </c>
      <c r="G464" s="53">
        <v>975</v>
      </c>
      <c r="H464" s="52" t="s">
        <v>122</v>
      </c>
      <c r="I464" s="45" t="s">
        <v>122</v>
      </c>
      <c r="J464" s="41">
        <v>387</v>
      </c>
      <c r="K464" s="54" t="s">
        <v>23</v>
      </c>
      <c r="L464" s="54" t="s">
        <v>24</v>
      </c>
      <c r="M464" s="57">
        <v>260419</v>
      </c>
      <c r="N464" s="57">
        <v>6041</v>
      </c>
      <c r="O464" s="57">
        <v>88542</v>
      </c>
      <c r="P464" s="57">
        <v>348961</v>
      </c>
      <c r="Q464" s="77">
        <v>0.4</v>
      </c>
      <c r="R464" s="57">
        <v>139585</v>
      </c>
      <c r="S464" s="57">
        <v>488546.02</v>
      </c>
      <c r="T464" s="106">
        <f>IF(A464="Upgrade",IF(OR(H464=4,H464=5),_xlfn.XLOOKUP(I464,'Renewal Rates'!$A$22:$A$27,'Renewal Rates'!$B$22:$B$27,'Renewal Rates'!$B$27,0),'Renewal Rates'!$F$7),IF(A464="Renewal",100%,0%))</f>
        <v>2.6599999999999999E-2</v>
      </c>
      <c r="U464" s="68">
        <f t="shared" si="7"/>
        <v>12995.324132</v>
      </c>
      <c r="V464" s="68"/>
    </row>
    <row r="465" spans="1:22" x14ac:dyDescent="0.3">
      <c r="A465" s="41" t="s">
        <v>21</v>
      </c>
      <c r="B465" s="51">
        <v>3.05</v>
      </c>
      <c r="C465" s="58">
        <v>2000794336</v>
      </c>
      <c r="D465" s="86">
        <v>76.7</v>
      </c>
      <c r="E465" s="86"/>
      <c r="F465" s="52">
        <v>225</v>
      </c>
      <c r="G465" s="53">
        <v>975</v>
      </c>
      <c r="H465" s="52" t="s">
        <v>122</v>
      </c>
      <c r="I465" s="45" t="s">
        <v>122</v>
      </c>
      <c r="J465" s="41">
        <v>386</v>
      </c>
      <c r="K465" s="54" t="s">
        <v>23</v>
      </c>
      <c r="L465" s="54" t="s">
        <v>24</v>
      </c>
      <c r="M465" s="57">
        <v>474866</v>
      </c>
      <c r="N465" s="57">
        <v>6191</v>
      </c>
      <c r="O465" s="57">
        <v>161454</v>
      </c>
      <c r="P465" s="57">
        <v>636320</v>
      </c>
      <c r="Q465" s="77">
        <v>0.4</v>
      </c>
      <c r="R465" s="57">
        <v>254528</v>
      </c>
      <c r="S465" s="57">
        <v>890848.35</v>
      </c>
      <c r="T465" s="106">
        <f>IF(A465="Upgrade",IF(OR(H465=4,H465=5),_xlfn.XLOOKUP(I465,'Renewal Rates'!$A$22:$A$27,'Renewal Rates'!$B$22:$B$27,'Renewal Rates'!$B$27,0),'Renewal Rates'!$F$7),IF(A465="Renewal",100%,0%))</f>
        <v>2.6599999999999999E-2</v>
      </c>
      <c r="U465" s="68">
        <f t="shared" si="7"/>
        <v>23696.56611</v>
      </c>
      <c r="V465" s="68"/>
    </row>
    <row r="466" spans="1:22" x14ac:dyDescent="0.3">
      <c r="A466" s="41" t="s">
        <v>21</v>
      </c>
      <c r="B466" s="51">
        <v>5.0090000000000003</v>
      </c>
      <c r="C466" s="58">
        <v>2000555391</v>
      </c>
      <c r="D466" s="86">
        <v>97.91</v>
      </c>
      <c r="E466" s="86"/>
      <c r="F466" s="52">
        <v>300</v>
      </c>
      <c r="G466" s="53">
        <v>1125</v>
      </c>
      <c r="H466" s="52" t="s">
        <v>122</v>
      </c>
      <c r="I466" s="45" t="s">
        <v>122</v>
      </c>
      <c r="J466" s="41">
        <v>387</v>
      </c>
      <c r="K466" s="54" t="s">
        <v>23</v>
      </c>
      <c r="L466" s="54" t="s">
        <v>24</v>
      </c>
      <c r="M466" s="57">
        <v>658637</v>
      </c>
      <c r="N466" s="57">
        <v>6727</v>
      </c>
      <c r="O466" s="57">
        <v>223937</v>
      </c>
      <c r="P466" s="57">
        <v>882574</v>
      </c>
      <c r="Q466" s="77">
        <v>0.4</v>
      </c>
      <c r="R466" s="57">
        <v>353029</v>
      </c>
      <c r="S466" s="57">
        <v>1235603.01</v>
      </c>
      <c r="T466" s="106">
        <f>IF(A466="Upgrade",IF(OR(H466=4,H466=5),_xlfn.XLOOKUP(I466,'Renewal Rates'!$A$22:$A$27,'Renewal Rates'!$B$22:$B$27,'Renewal Rates'!$B$27,0),'Renewal Rates'!$F$7),IF(A466="Renewal",100%,0%))</f>
        <v>2.6599999999999999E-2</v>
      </c>
      <c r="U466" s="68">
        <f t="shared" si="7"/>
        <v>32867.040066000001</v>
      </c>
      <c r="V466" s="68"/>
    </row>
    <row r="467" spans="1:22" x14ac:dyDescent="0.3">
      <c r="A467" s="41" t="s">
        <v>21</v>
      </c>
      <c r="B467" s="51">
        <v>1.0169999999999999</v>
      </c>
      <c r="C467" s="58">
        <v>2000519928</v>
      </c>
      <c r="D467" s="86">
        <v>27.31</v>
      </c>
      <c r="E467" s="86"/>
      <c r="F467" s="52">
        <v>225</v>
      </c>
      <c r="G467" s="53">
        <v>750</v>
      </c>
      <c r="H467" s="52" t="s">
        <v>122</v>
      </c>
      <c r="I467" s="45" t="s">
        <v>122</v>
      </c>
      <c r="J467" s="41">
        <v>385</v>
      </c>
      <c r="K467" s="54" t="s">
        <v>23</v>
      </c>
      <c r="L467" s="54" t="s">
        <v>24</v>
      </c>
      <c r="M467" s="57">
        <v>110893</v>
      </c>
      <c r="N467" s="57">
        <v>4061</v>
      </c>
      <c r="O467" s="57">
        <v>42689</v>
      </c>
      <c r="P467" s="57">
        <v>168244</v>
      </c>
      <c r="Q467" s="77">
        <v>0.4</v>
      </c>
      <c r="R467" s="57">
        <v>67298</v>
      </c>
      <c r="S467" s="57">
        <v>235541.66588400002</v>
      </c>
      <c r="T467" s="106">
        <f>IF(A467="Upgrade",IF(OR(H467=4,H467=5),_xlfn.XLOOKUP(I467,'Renewal Rates'!$A$22:$A$27,'Renewal Rates'!$B$22:$B$27,'Renewal Rates'!$B$27,0),'Renewal Rates'!$F$7),IF(A467="Renewal",100%,0%))</f>
        <v>2.6599999999999999E-2</v>
      </c>
      <c r="U467" s="68">
        <f t="shared" si="7"/>
        <v>6265.4083125143998</v>
      </c>
      <c r="V467" s="68"/>
    </row>
    <row r="468" spans="1:22" x14ac:dyDescent="0.3">
      <c r="A468" s="41" t="s">
        <v>21</v>
      </c>
      <c r="B468" s="51">
        <v>6.0090000000000003</v>
      </c>
      <c r="C468" s="58">
        <v>2000227476</v>
      </c>
      <c r="D468" s="86">
        <v>80.2</v>
      </c>
      <c r="E468" s="86"/>
      <c r="F468" s="52">
        <v>375</v>
      </c>
      <c r="G468" s="53">
        <v>825</v>
      </c>
      <c r="H468" s="52" t="s">
        <v>122</v>
      </c>
      <c r="I468" s="45" t="s">
        <v>122</v>
      </c>
      <c r="J468" s="41">
        <v>387</v>
      </c>
      <c r="K468" s="54" t="s">
        <v>23</v>
      </c>
      <c r="L468" s="54" t="s">
        <v>24</v>
      </c>
      <c r="M468" s="57">
        <v>370263</v>
      </c>
      <c r="N468" s="57">
        <v>4617</v>
      </c>
      <c r="O468" s="57">
        <v>125889</v>
      </c>
      <c r="P468" s="57">
        <v>496153</v>
      </c>
      <c r="Q468" s="77">
        <v>0.4</v>
      </c>
      <c r="R468" s="57">
        <v>198461</v>
      </c>
      <c r="S468" s="57">
        <v>694613.75</v>
      </c>
      <c r="T468" s="106">
        <f>IF(A468="Upgrade",IF(OR(H468=4,H468=5),_xlfn.XLOOKUP(I468,'Renewal Rates'!$A$22:$A$27,'Renewal Rates'!$B$22:$B$27,'Renewal Rates'!$B$27,0),'Renewal Rates'!$F$7),IF(A468="Renewal",100%,0%))</f>
        <v>2.6599999999999999E-2</v>
      </c>
      <c r="U468" s="68">
        <f t="shared" si="7"/>
        <v>18476.725749999998</v>
      </c>
      <c r="V468" s="68"/>
    </row>
    <row r="469" spans="1:22" x14ac:dyDescent="0.3">
      <c r="A469" s="41" t="s">
        <v>21</v>
      </c>
      <c r="B469" s="51">
        <v>2.0129999999999999</v>
      </c>
      <c r="C469" s="58">
        <v>3000184637</v>
      </c>
      <c r="D469" s="86">
        <v>2.2645330000000001</v>
      </c>
      <c r="E469" s="86"/>
      <c r="F469" s="52">
        <v>225</v>
      </c>
      <c r="G469" s="53">
        <v>750</v>
      </c>
      <c r="H469" s="52" t="s">
        <v>122</v>
      </c>
      <c r="I469" s="45" t="s">
        <v>122</v>
      </c>
      <c r="J469" s="41">
        <v>385</v>
      </c>
      <c r="K469" s="54" t="s">
        <v>23</v>
      </c>
      <c r="L469" s="54" t="s">
        <v>24</v>
      </c>
      <c r="M469" s="57">
        <v>29226</v>
      </c>
      <c r="N469" s="57">
        <v>12906</v>
      </c>
      <c r="O469" s="57">
        <v>9937</v>
      </c>
      <c r="P469" s="57">
        <v>39163</v>
      </c>
      <c r="Q469" s="77">
        <v>0.4</v>
      </c>
      <c r="R469" s="57">
        <v>15665</v>
      </c>
      <c r="S469" s="57">
        <v>54827.64</v>
      </c>
      <c r="T469" s="106">
        <f>IF(A469="Upgrade",IF(OR(H469=4,H469=5),_xlfn.XLOOKUP(I469,'Renewal Rates'!$A$22:$A$27,'Renewal Rates'!$B$22:$B$27,'Renewal Rates'!$B$27,0),'Renewal Rates'!$F$7),IF(A469="Renewal",100%,0%))</f>
        <v>2.6599999999999999E-2</v>
      </c>
      <c r="U469" s="68">
        <f t="shared" si="7"/>
        <v>1458.4152239999999</v>
      </c>
      <c r="V469" s="68"/>
    </row>
    <row r="470" spans="1:22" x14ac:dyDescent="0.3">
      <c r="A470" s="41" t="s">
        <v>21</v>
      </c>
      <c r="B470" s="51">
        <v>5.0090000000000003</v>
      </c>
      <c r="C470" s="58">
        <v>2000853916</v>
      </c>
      <c r="D470" s="86">
        <v>6.5</v>
      </c>
      <c r="E470" s="86"/>
      <c r="F470" s="52">
        <v>300</v>
      </c>
      <c r="G470" s="53">
        <v>1125</v>
      </c>
      <c r="H470" s="52" t="s">
        <v>122</v>
      </c>
      <c r="I470" s="45" t="s">
        <v>122</v>
      </c>
      <c r="J470" s="41">
        <v>387</v>
      </c>
      <c r="K470" s="54" t="s">
        <v>23</v>
      </c>
      <c r="L470" s="54" t="s">
        <v>24</v>
      </c>
      <c r="M470" s="57">
        <v>102986</v>
      </c>
      <c r="N470" s="57">
        <v>15851</v>
      </c>
      <c r="O470" s="57">
        <v>35015</v>
      </c>
      <c r="P470" s="57">
        <v>138001</v>
      </c>
      <c r="Q470" s="77">
        <v>0.4</v>
      </c>
      <c r="R470" s="57">
        <v>55200</v>
      </c>
      <c r="S470" s="57">
        <v>193201.15</v>
      </c>
      <c r="T470" s="106">
        <f>IF(A470="Upgrade",IF(OR(H470=4,H470=5),_xlfn.XLOOKUP(I470,'Renewal Rates'!$A$22:$A$27,'Renewal Rates'!$B$22:$B$27,'Renewal Rates'!$B$27,0),'Renewal Rates'!$F$7),IF(A470="Renewal",100%,0%))</f>
        <v>2.6599999999999999E-2</v>
      </c>
      <c r="U470" s="68">
        <f t="shared" si="7"/>
        <v>5139.1505899999993</v>
      </c>
      <c r="V470" s="68"/>
    </row>
    <row r="471" spans="1:22" x14ac:dyDescent="0.3">
      <c r="A471" s="41" t="s">
        <v>21</v>
      </c>
      <c r="B471" s="51">
        <v>2.0529999999999999</v>
      </c>
      <c r="C471" s="58">
        <v>2000426665</v>
      </c>
      <c r="D471" s="86">
        <v>57.39</v>
      </c>
      <c r="E471" s="86"/>
      <c r="F471" s="52">
        <v>375</v>
      </c>
      <c r="G471" s="53">
        <v>900</v>
      </c>
      <c r="H471" s="52" t="s">
        <v>122</v>
      </c>
      <c r="I471" s="45" t="s">
        <v>122</v>
      </c>
      <c r="J471" s="41">
        <v>386</v>
      </c>
      <c r="K471" s="54" t="s">
        <v>23</v>
      </c>
      <c r="L471" s="54" t="s">
        <v>24</v>
      </c>
      <c r="M471" s="57">
        <v>331173</v>
      </c>
      <c r="N471" s="57">
        <v>5771</v>
      </c>
      <c r="O471" s="57">
        <v>112599</v>
      </c>
      <c r="P471" s="57">
        <v>443772</v>
      </c>
      <c r="Q471" s="77">
        <v>0.4</v>
      </c>
      <c r="R471" s="57">
        <v>177509</v>
      </c>
      <c r="S471" s="57">
        <v>621280.26</v>
      </c>
      <c r="T471" s="106">
        <f>IF(A471="Upgrade",IF(OR(H471=4,H471=5),_xlfn.XLOOKUP(I471,'Renewal Rates'!$A$22:$A$27,'Renewal Rates'!$B$22:$B$27,'Renewal Rates'!$B$27,0),'Renewal Rates'!$F$7),IF(A471="Renewal",100%,0%))</f>
        <v>2.6599999999999999E-2</v>
      </c>
      <c r="U471" s="68">
        <f t="shared" si="7"/>
        <v>16526.054916000001</v>
      </c>
      <c r="V471" s="68"/>
    </row>
    <row r="472" spans="1:22" x14ac:dyDescent="0.3">
      <c r="A472" s="41" t="s">
        <v>21</v>
      </c>
      <c r="B472" s="51">
        <v>1.0109999999999999</v>
      </c>
      <c r="C472" s="58">
        <v>2000276111</v>
      </c>
      <c r="D472" s="86">
        <v>32.19</v>
      </c>
      <c r="E472" s="86"/>
      <c r="F472" s="52">
        <v>450</v>
      </c>
      <c r="G472" s="53">
        <v>825</v>
      </c>
      <c r="H472" s="52" t="s">
        <v>122</v>
      </c>
      <c r="I472" s="45" t="s">
        <v>122</v>
      </c>
      <c r="J472" s="41">
        <v>385</v>
      </c>
      <c r="K472" s="54" t="s">
        <v>23</v>
      </c>
      <c r="L472" s="54" t="s">
        <v>24</v>
      </c>
      <c r="M472" s="57">
        <v>156450</v>
      </c>
      <c r="N472" s="57">
        <v>4860</v>
      </c>
      <c r="O472" s="57">
        <v>53193</v>
      </c>
      <c r="P472" s="57">
        <v>209642</v>
      </c>
      <c r="Q472" s="77">
        <v>0.4</v>
      </c>
      <c r="R472" s="57">
        <v>83857</v>
      </c>
      <c r="S472" s="57">
        <v>293499.36</v>
      </c>
      <c r="T472" s="106">
        <f>IF(A472="Upgrade",IF(OR(H472=4,H472=5),_xlfn.XLOOKUP(I472,'Renewal Rates'!$A$22:$A$27,'Renewal Rates'!$B$22:$B$27,'Renewal Rates'!$B$27,0),'Renewal Rates'!$F$7),IF(A472="Renewal",100%,0%))</f>
        <v>2.6599999999999999E-2</v>
      </c>
      <c r="U472" s="68">
        <f t="shared" si="7"/>
        <v>7807.0829759999988</v>
      </c>
      <c r="V472" s="68"/>
    </row>
    <row r="473" spans="1:22" x14ac:dyDescent="0.3">
      <c r="A473" s="41" t="s">
        <v>21</v>
      </c>
      <c r="B473" s="51">
        <v>4.008</v>
      </c>
      <c r="C473" s="58">
        <v>2000900356</v>
      </c>
      <c r="D473" s="86">
        <v>33.944896</v>
      </c>
      <c r="E473" s="86"/>
      <c r="F473" s="52">
        <v>450</v>
      </c>
      <c r="G473" s="53">
        <v>975</v>
      </c>
      <c r="H473" s="52">
        <v>4</v>
      </c>
      <c r="I473" s="45">
        <v>3</v>
      </c>
      <c r="J473" s="41">
        <v>386</v>
      </c>
      <c r="K473" s="54" t="s">
        <v>23</v>
      </c>
      <c r="L473" s="54" t="s">
        <v>24</v>
      </c>
      <c r="M473" s="57">
        <v>220726</v>
      </c>
      <c r="N473" s="57">
        <v>6502</v>
      </c>
      <c r="O473" s="57">
        <v>75047</v>
      </c>
      <c r="P473" s="57">
        <v>295773</v>
      </c>
      <c r="Q473" s="77">
        <v>0.4</v>
      </c>
      <c r="R473" s="57">
        <v>118309</v>
      </c>
      <c r="S473" s="57">
        <v>414082.29</v>
      </c>
      <c r="T473" s="106">
        <f>IF(A473="Upgrade",IF(OR(H473=4,H473=5),_xlfn.XLOOKUP(I473,'Renewal Rates'!$A$22:$A$27,'Renewal Rates'!$B$22:$B$27,'Renewal Rates'!$B$27,0),'Renewal Rates'!$F$7),IF(A473="Renewal",100%,0%))</f>
        <v>0.21</v>
      </c>
      <c r="U473" s="68">
        <f t="shared" si="7"/>
        <v>86957.280899999998</v>
      </c>
      <c r="V473" s="68"/>
    </row>
    <row r="474" spans="1:22" x14ac:dyDescent="0.3">
      <c r="A474" s="41" t="s">
        <v>21</v>
      </c>
      <c r="B474" s="51">
        <v>3.044</v>
      </c>
      <c r="C474" s="58">
        <v>2000647843</v>
      </c>
      <c r="D474" s="86">
        <v>41.06</v>
      </c>
      <c r="E474" s="86"/>
      <c r="F474" s="52">
        <v>300</v>
      </c>
      <c r="G474" s="53">
        <v>825</v>
      </c>
      <c r="H474" s="52">
        <v>4</v>
      </c>
      <c r="I474" s="45">
        <v>2</v>
      </c>
      <c r="J474" s="41">
        <v>387</v>
      </c>
      <c r="K474" s="54" t="s">
        <v>23</v>
      </c>
      <c r="L474" s="54" t="s">
        <v>24</v>
      </c>
      <c r="M474" s="57">
        <v>189400</v>
      </c>
      <c r="N474" s="57">
        <v>4613</v>
      </c>
      <c r="O474" s="57">
        <v>64396</v>
      </c>
      <c r="P474" s="57">
        <v>253797</v>
      </c>
      <c r="Q474" s="77">
        <v>0.4</v>
      </c>
      <c r="R474" s="57">
        <v>101519</v>
      </c>
      <c r="S474" s="57">
        <v>355315.14</v>
      </c>
      <c r="T474" s="106">
        <f>IF(A474="Upgrade",IF(OR(H474=4,H474=5),_xlfn.XLOOKUP(I474,'Renewal Rates'!$A$22:$A$27,'Renewal Rates'!$B$22:$B$27,'Renewal Rates'!$B$27,0),'Renewal Rates'!$F$7),IF(A474="Renewal",100%,0%))</f>
        <v>0</v>
      </c>
      <c r="U474" s="68">
        <f t="shared" si="7"/>
        <v>0</v>
      </c>
      <c r="V474" s="68"/>
    </row>
    <row r="475" spans="1:22" x14ac:dyDescent="0.3">
      <c r="A475" s="41" t="s">
        <v>21</v>
      </c>
      <c r="B475" s="51">
        <v>3.0529999999999999</v>
      </c>
      <c r="C475" s="58">
        <v>2000742615</v>
      </c>
      <c r="D475" s="86">
        <v>50.42</v>
      </c>
      <c r="E475" s="86"/>
      <c r="F475" s="52">
        <v>225</v>
      </c>
      <c r="G475" s="53">
        <v>750</v>
      </c>
      <c r="H475" s="52" t="s">
        <v>122</v>
      </c>
      <c r="I475" s="45" t="s">
        <v>122</v>
      </c>
      <c r="J475" s="41">
        <v>386</v>
      </c>
      <c r="K475" s="54" t="s">
        <v>23</v>
      </c>
      <c r="L475" s="54" t="s">
        <v>24</v>
      </c>
      <c r="M475" s="57">
        <v>181013</v>
      </c>
      <c r="N475" s="57">
        <v>4582</v>
      </c>
      <c r="O475" s="57">
        <v>61544</v>
      </c>
      <c r="P475" s="57">
        <v>242558</v>
      </c>
      <c r="Q475" s="77">
        <v>0.4</v>
      </c>
      <c r="R475" s="57">
        <v>97023</v>
      </c>
      <c r="S475" s="57">
        <v>339580.61</v>
      </c>
      <c r="T475" s="106">
        <f>IF(A475="Upgrade",IF(OR(H475=4,H475=5),_xlfn.XLOOKUP(I475,'Renewal Rates'!$A$22:$A$27,'Renewal Rates'!$B$22:$B$27,'Renewal Rates'!$B$27,0),'Renewal Rates'!$F$7),IF(A475="Renewal",100%,0%))</f>
        <v>2.6599999999999999E-2</v>
      </c>
      <c r="U475" s="68">
        <f t="shared" si="7"/>
        <v>9032.8442259999993</v>
      </c>
      <c r="V475" s="68"/>
    </row>
    <row r="476" spans="1:22" x14ac:dyDescent="0.3">
      <c r="A476" s="41" t="s">
        <v>21</v>
      </c>
      <c r="B476" s="51">
        <v>2.0019999999999998</v>
      </c>
      <c r="C476" s="58">
        <v>2000532271</v>
      </c>
      <c r="D476" s="86">
        <v>100.44</v>
      </c>
      <c r="E476" s="86"/>
      <c r="F476" s="52">
        <v>600</v>
      </c>
      <c r="G476" s="53">
        <v>1275</v>
      </c>
      <c r="H476" s="52">
        <v>5</v>
      </c>
      <c r="I476" s="45">
        <v>2</v>
      </c>
      <c r="J476" s="41">
        <v>385</v>
      </c>
      <c r="K476" s="54" t="s">
        <v>23</v>
      </c>
      <c r="L476" s="54" t="s">
        <v>24</v>
      </c>
      <c r="M476" s="57">
        <v>684306</v>
      </c>
      <c r="N476" s="57">
        <v>6813</v>
      </c>
      <c r="O476" s="57">
        <v>232664</v>
      </c>
      <c r="P476" s="57">
        <v>916969</v>
      </c>
      <c r="Q476" s="77">
        <v>0.4</v>
      </c>
      <c r="R476" s="57">
        <v>366788</v>
      </c>
      <c r="S476" s="57">
        <v>1283757.1499999999</v>
      </c>
      <c r="T476" s="106">
        <f>IF(A476="Upgrade",IF(OR(H476=4,H476=5),_xlfn.XLOOKUP(I476,'Renewal Rates'!$A$22:$A$27,'Renewal Rates'!$B$22:$B$27,'Renewal Rates'!$B$27,0),'Renewal Rates'!$F$7),IF(A476="Renewal",100%,0%))</f>
        <v>0</v>
      </c>
      <c r="U476" s="68">
        <f t="shared" si="7"/>
        <v>0</v>
      </c>
      <c r="V476" s="68"/>
    </row>
    <row r="477" spans="1:22" x14ac:dyDescent="0.3">
      <c r="A477" s="41" t="s">
        <v>21</v>
      </c>
      <c r="B477" s="51">
        <v>2.0529999999999999</v>
      </c>
      <c r="C477" s="58">
        <v>2000415719</v>
      </c>
      <c r="D477" s="86">
        <v>24.5</v>
      </c>
      <c r="E477" s="86"/>
      <c r="F477" s="52">
        <v>300</v>
      </c>
      <c r="G477" s="53">
        <v>900</v>
      </c>
      <c r="H477" s="52" t="s">
        <v>122</v>
      </c>
      <c r="I477" s="45" t="s">
        <v>122</v>
      </c>
      <c r="J477" s="41">
        <v>386</v>
      </c>
      <c r="K477" s="54" t="s">
        <v>23</v>
      </c>
      <c r="L477" s="54" t="s">
        <v>24</v>
      </c>
      <c r="M477" s="57">
        <v>161458</v>
      </c>
      <c r="N477" s="57">
        <v>6566</v>
      </c>
      <c r="O477" s="57">
        <v>54896</v>
      </c>
      <c r="P477" s="57">
        <v>216354</v>
      </c>
      <c r="Q477" s="77">
        <v>0.4</v>
      </c>
      <c r="R477" s="57">
        <v>86542</v>
      </c>
      <c r="S477" s="57">
        <v>302895.92</v>
      </c>
      <c r="T477" s="106">
        <f>IF(A477="Upgrade",IF(OR(H477=4,H477=5),_xlfn.XLOOKUP(I477,'Renewal Rates'!$A$22:$A$27,'Renewal Rates'!$B$22:$B$27,'Renewal Rates'!$B$27,0),'Renewal Rates'!$F$7),IF(A477="Renewal",100%,0%))</f>
        <v>2.6599999999999999E-2</v>
      </c>
      <c r="U477" s="68">
        <f t="shared" si="7"/>
        <v>8057.0314719999988</v>
      </c>
      <c r="V477" s="68"/>
    </row>
    <row r="478" spans="1:22" x14ac:dyDescent="0.3">
      <c r="A478" s="41" t="s">
        <v>21</v>
      </c>
      <c r="B478" s="51">
        <v>5.0049999999999999</v>
      </c>
      <c r="C478" s="58">
        <v>2000604950</v>
      </c>
      <c r="D478" s="86">
        <v>94.2</v>
      </c>
      <c r="E478" s="86"/>
      <c r="F478" s="52">
        <v>450</v>
      </c>
      <c r="G478" s="53">
        <v>825</v>
      </c>
      <c r="H478" s="52" t="s">
        <v>122</v>
      </c>
      <c r="I478" s="45" t="s">
        <v>122</v>
      </c>
      <c r="J478" s="41">
        <v>387</v>
      </c>
      <c r="K478" s="54" t="s">
        <v>23</v>
      </c>
      <c r="L478" s="54" t="s">
        <v>24</v>
      </c>
      <c r="M478" s="57">
        <v>411035</v>
      </c>
      <c r="N478" s="57">
        <v>4364</v>
      </c>
      <c r="O478" s="57">
        <v>139752</v>
      </c>
      <c r="P478" s="57">
        <v>550787</v>
      </c>
      <c r="Q478" s="77">
        <v>0.4</v>
      </c>
      <c r="R478" s="57">
        <v>220315</v>
      </c>
      <c r="S478" s="57">
        <v>771102.09</v>
      </c>
      <c r="T478" s="106">
        <f>IF(A478="Upgrade",IF(OR(H478=4,H478=5),_xlfn.XLOOKUP(I478,'Renewal Rates'!$A$22:$A$27,'Renewal Rates'!$B$22:$B$27,'Renewal Rates'!$B$27,0),'Renewal Rates'!$F$7),IF(A478="Renewal",100%,0%))</f>
        <v>2.6599999999999999E-2</v>
      </c>
      <c r="U478" s="68">
        <f t="shared" si="7"/>
        <v>20511.315594</v>
      </c>
      <c r="V478" s="68"/>
    </row>
    <row r="479" spans="1:22" x14ac:dyDescent="0.3">
      <c r="A479" s="41" t="s">
        <v>21</v>
      </c>
      <c r="B479" s="51">
        <v>3.044</v>
      </c>
      <c r="C479" s="58">
        <v>2000765076</v>
      </c>
      <c r="D479" s="86">
        <v>39.090000000000003</v>
      </c>
      <c r="E479" s="86"/>
      <c r="F479" s="52">
        <v>300</v>
      </c>
      <c r="G479" s="53">
        <v>825</v>
      </c>
      <c r="H479" s="52" t="s">
        <v>122</v>
      </c>
      <c r="I479" s="45" t="s">
        <v>122</v>
      </c>
      <c r="J479" s="41">
        <v>387</v>
      </c>
      <c r="K479" s="54" t="s">
        <v>23</v>
      </c>
      <c r="L479" s="54" t="s">
        <v>24</v>
      </c>
      <c r="M479" s="57">
        <v>186398</v>
      </c>
      <c r="N479" s="57">
        <v>4769</v>
      </c>
      <c r="O479" s="57">
        <v>63375</v>
      </c>
      <c r="P479" s="57">
        <v>249773</v>
      </c>
      <c r="Q479" s="77">
        <v>0.4</v>
      </c>
      <c r="R479" s="57">
        <v>99909</v>
      </c>
      <c r="S479" s="57">
        <v>349682.31</v>
      </c>
      <c r="T479" s="106">
        <f>IF(A479="Upgrade",IF(OR(H479=4,H479=5),_xlfn.XLOOKUP(I479,'Renewal Rates'!$A$22:$A$27,'Renewal Rates'!$B$22:$B$27,'Renewal Rates'!$B$27,0),'Renewal Rates'!$F$7),IF(A479="Renewal",100%,0%))</f>
        <v>2.6599999999999999E-2</v>
      </c>
      <c r="U479" s="68">
        <f t="shared" si="7"/>
        <v>9301.5494459999991</v>
      </c>
      <c r="V479" s="68"/>
    </row>
    <row r="480" spans="1:22" x14ac:dyDescent="0.3">
      <c r="A480" s="41" t="s">
        <v>21</v>
      </c>
      <c r="B480" s="51">
        <v>4.0049999999999999</v>
      </c>
      <c r="C480" s="58">
        <v>2000424236</v>
      </c>
      <c r="D480" s="86">
        <v>77.92</v>
      </c>
      <c r="E480" s="86"/>
      <c r="F480" s="52">
        <v>675</v>
      </c>
      <c r="G480" s="53">
        <v>975</v>
      </c>
      <c r="H480" s="52">
        <v>4</v>
      </c>
      <c r="I480" s="45">
        <v>1</v>
      </c>
      <c r="J480" s="41">
        <v>386</v>
      </c>
      <c r="K480" s="54" t="s">
        <v>23</v>
      </c>
      <c r="L480" s="54" t="s">
        <v>24</v>
      </c>
      <c r="M480" s="57">
        <v>470950</v>
      </c>
      <c r="N480" s="57">
        <v>6314</v>
      </c>
      <c r="O480" s="57">
        <v>160123</v>
      </c>
      <c r="P480" s="57">
        <v>631073</v>
      </c>
      <c r="Q480" s="77">
        <v>0.4</v>
      </c>
      <c r="R480" s="57">
        <v>252429</v>
      </c>
      <c r="S480" s="57">
        <v>883502.88</v>
      </c>
      <c r="T480" s="106">
        <f>IF(A480="Upgrade",IF(OR(H480=4,H480=5),_xlfn.XLOOKUP(I480,'Renewal Rates'!$A$22:$A$27,'Renewal Rates'!$B$22:$B$27,'Renewal Rates'!$B$27,0),'Renewal Rates'!$F$7),IF(A480="Renewal",100%,0%))</f>
        <v>0</v>
      </c>
      <c r="U480" s="68">
        <f t="shared" si="7"/>
        <v>0</v>
      </c>
      <c r="V480" s="68"/>
    </row>
    <row r="481" spans="1:22" x14ac:dyDescent="0.3">
      <c r="A481" s="41" t="s">
        <v>21</v>
      </c>
      <c r="B481" s="51">
        <v>4.0140000000000002</v>
      </c>
      <c r="C481" s="58">
        <v>2000028767</v>
      </c>
      <c r="D481" s="86">
        <v>26.26</v>
      </c>
      <c r="E481" s="86"/>
      <c r="F481" s="52">
        <v>1200</v>
      </c>
      <c r="G481" s="53">
        <v>1275</v>
      </c>
      <c r="H481" s="52" t="s">
        <v>122</v>
      </c>
      <c r="I481" s="45" t="s">
        <v>122</v>
      </c>
      <c r="J481" s="41">
        <v>386</v>
      </c>
      <c r="K481" s="54" t="s">
        <v>23</v>
      </c>
      <c r="L481" s="54" t="s">
        <v>24</v>
      </c>
      <c r="M481" s="57">
        <v>183334</v>
      </c>
      <c r="N481" s="57">
        <v>6981</v>
      </c>
      <c r="O481" s="57">
        <v>62334</v>
      </c>
      <c r="P481" s="57">
        <v>245668</v>
      </c>
      <c r="Q481" s="77">
        <v>0.4</v>
      </c>
      <c r="R481" s="57">
        <v>98267</v>
      </c>
      <c r="S481" s="57">
        <v>343934.9</v>
      </c>
      <c r="T481" s="106">
        <f>IF(A481="Upgrade",IF(OR(H481=4,H481=5),_xlfn.XLOOKUP(I481,'Renewal Rates'!$A$22:$A$27,'Renewal Rates'!$B$22:$B$27,'Renewal Rates'!$B$27,0),'Renewal Rates'!$F$7),IF(A481="Renewal",100%,0%))</f>
        <v>2.6599999999999999E-2</v>
      </c>
      <c r="U481" s="68">
        <f t="shared" si="7"/>
        <v>9148.6683400000002</v>
      </c>
      <c r="V481" s="68"/>
    </row>
    <row r="482" spans="1:22" x14ac:dyDescent="0.3">
      <c r="A482" s="41" t="s">
        <v>21</v>
      </c>
      <c r="B482" s="51">
        <v>1.02</v>
      </c>
      <c r="C482" s="58">
        <v>2000885978</v>
      </c>
      <c r="D482" s="86">
        <v>60.55</v>
      </c>
      <c r="E482" s="86"/>
      <c r="F482" s="52">
        <v>525</v>
      </c>
      <c r="G482" s="53">
        <v>1125</v>
      </c>
      <c r="H482" s="52" t="s">
        <v>122</v>
      </c>
      <c r="I482" s="45" t="s">
        <v>122</v>
      </c>
      <c r="J482" s="41">
        <v>385</v>
      </c>
      <c r="K482" s="54" t="s">
        <v>23</v>
      </c>
      <c r="L482" s="54" t="s">
        <v>24</v>
      </c>
      <c r="M482" s="57">
        <v>440660</v>
      </c>
      <c r="N482" s="57">
        <v>7278</v>
      </c>
      <c r="O482" s="57">
        <v>149824</v>
      </c>
      <c r="P482" s="57">
        <v>590485</v>
      </c>
      <c r="Q482" s="77">
        <v>0.4</v>
      </c>
      <c r="R482" s="57">
        <v>236194</v>
      </c>
      <c r="S482" s="57">
        <v>826678.5</v>
      </c>
      <c r="T482" s="106">
        <f>IF(A482="Upgrade",IF(OR(H482=4,H482=5),_xlfn.XLOOKUP(I482,'Renewal Rates'!$A$22:$A$27,'Renewal Rates'!$B$22:$B$27,'Renewal Rates'!$B$27,0),'Renewal Rates'!$F$7),IF(A482="Renewal",100%,0%))</f>
        <v>2.6599999999999999E-2</v>
      </c>
      <c r="U482" s="68">
        <f t="shared" si="7"/>
        <v>21989.648099999999</v>
      </c>
      <c r="V482" s="68"/>
    </row>
    <row r="483" spans="1:22" x14ac:dyDescent="0.3">
      <c r="A483" s="41" t="s">
        <v>21</v>
      </c>
      <c r="B483" s="51">
        <v>1.0129999999999999</v>
      </c>
      <c r="C483" s="58">
        <v>2000844010</v>
      </c>
      <c r="D483" s="86">
        <v>115.77</v>
      </c>
      <c r="E483" s="86"/>
      <c r="F483" s="52">
        <v>600</v>
      </c>
      <c r="G483" s="53">
        <v>1050</v>
      </c>
      <c r="H483" s="52" t="s">
        <v>122</v>
      </c>
      <c r="I483" s="45" t="s">
        <v>122</v>
      </c>
      <c r="J483" s="41">
        <v>385</v>
      </c>
      <c r="K483" s="54" t="s">
        <v>23</v>
      </c>
      <c r="L483" s="54" t="s">
        <v>24</v>
      </c>
      <c r="M483" s="57">
        <v>762838</v>
      </c>
      <c r="N483" s="57">
        <v>6589</v>
      </c>
      <c r="O483" s="57">
        <v>259365</v>
      </c>
      <c r="P483" s="57">
        <v>1022203</v>
      </c>
      <c r="Q483" s="77">
        <v>0.4</v>
      </c>
      <c r="R483" s="57">
        <v>408881</v>
      </c>
      <c r="S483" s="57">
        <v>1431083.83</v>
      </c>
      <c r="T483" s="106">
        <f>IF(A483="Upgrade",IF(OR(H483=4,H483=5),_xlfn.XLOOKUP(I483,'Renewal Rates'!$A$22:$A$27,'Renewal Rates'!$B$22:$B$27,'Renewal Rates'!$B$27,0),'Renewal Rates'!$F$7),IF(A483="Renewal",100%,0%))</f>
        <v>2.6599999999999999E-2</v>
      </c>
      <c r="U483" s="68">
        <f t="shared" si="7"/>
        <v>38066.829877999997</v>
      </c>
      <c r="V483" s="68"/>
    </row>
    <row r="484" spans="1:22" x14ac:dyDescent="0.3">
      <c r="A484" s="41" t="s">
        <v>21</v>
      </c>
      <c r="B484" s="51">
        <v>3.0369999999999999</v>
      </c>
      <c r="C484" s="58">
        <v>2000488518</v>
      </c>
      <c r="D484" s="86">
        <v>51.57</v>
      </c>
      <c r="E484" s="86"/>
      <c r="F484" s="52">
        <v>225</v>
      </c>
      <c r="G484" s="53">
        <v>1275</v>
      </c>
      <c r="H484" s="52" t="s">
        <v>122</v>
      </c>
      <c r="I484" s="45" t="s">
        <v>122</v>
      </c>
      <c r="J484" s="41">
        <v>387</v>
      </c>
      <c r="K484" s="54" t="s">
        <v>23</v>
      </c>
      <c r="L484" s="54" t="s">
        <v>24</v>
      </c>
      <c r="M484" s="57">
        <v>358628</v>
      </c>
      <c r="N484" s="57">
        <v>6955</v>
      </c>
      <c r="O484" s="57">
        <v>121934</v>
      </c>
      <c r="P484" s="57">
        <v>480561</v>
      </c>
      <c r="Q484" s="77">
        <v>0.4</v>
      </c>
      <c r="R484" s="57">
        <v>192225</v>
      </c>
      <c r="S484" s="57">
        <v>672786.07</v>
      </c>
      <c r="T484" s="106">
        <f>IF(A484="Upgrade",IF(OR(H484=4,H484=5),_xlfn.XLOOKUP(I484,'Renewal Rates'!$A$22:$A$27,'Renewal Rates'!$B$22:$B$27,'Renewal Rates'!$B$27,0),'Renewal Rates'!$F$7),IF(A484="Renewal",100%,0%))</f>
        <v>2.6599999999999999E-2</v>
      </c>
      <c r="U484" s="68">
        <f t="shared" si="7"/>
        <v>17896.109461999997</v>
      </c>
      <c r="V484" s="68"/>
    </row>
    <row r="485" spans="1:22" x14ac:dyDescent="0.3">
      <c r="A485" s="41" t="s">
        <v>21</v>
      </c>
      <c r="B485" s="51">
        <v>4.0140000000000002</v>
      </c>
      <c r="C485" s="58">
        <v>2000849516</v>
      </c>
      <c r="D485" s="86">
        <v>23.94</v>
      </c>
      <c r="E485" s="86"/>
      <c r="F485" s="52">
        <v>1200</v>
      </c>
      <c r="G485" s="53">
        <v>1275</v>
      </c>
      <c r="H485" s="52" t="s">
        <v>122</v>
      </c>
      <c r="I485" s="45" t="s">
        <v>122</v>
      </c>
      <c r="J485" s="41">
        <v>386</v>
      </c>
      <c r="K485" s="54" t="s">
        <v>23</v>
      </c>
      <c r="L485" s="54" t="s">
        <v>24</v>
      </c>
      <c r="M485" s="57">
        <v>177453</v>
      </c>
      <c r="N485" s="57">
        <v>7413</v>
      </c>
      <c r="O485" s="57">
        <v>60334</v>
      </c>
      <c r="P485" s="57">
        <v>237787</v>
      </c>
      <c r="Q485" s="77">
        <v>0.4</v>
      </c>
      <c r="R485" s="57">
        <v>95115</v>
      </c>
      <c r="S485" s="57">
        <v>332902.15999999997</v>
      </c>
      <c r="T485" s="106">
        <f>IF(A485="Upgrade",IF(OR(H485=4,H485=5),_xlfn.XLOOKUP(I485,'Renewal Rates'!$A$22:$A$27,'Renewal Rates'!$B$22:$B$27,'Renewal Rates'!$B$27,0),'Renewal Rates'!$F$7),IF(A485="Renewal",100%,0%))</f>
        <v>2.6599999999999999E-2</v>
      </c>
      <c r="U485" s="68">
        <f t="shared" si="7"/>
        <v>8855.1974559999981</v>
      </c>
      <c r="V485" s="68"/>
    </row>
    <row r="486" spans="1:22" x14ac:dyDescent="0.3">
      <c r="A486" s="41" t="s">
        <v>21</v>
      </c>
      <c r="B486" s="51">
        <v>3.044</v>
      </c>
      <c r="C486" s="58">
        <v>2000032235</v>
      </c>
      <c r="D486" s="86">
        <v>9.35</v>
      </c>
      <c r="E486" s="86"/>
      <c r="F486" s="52">
        <v>300</v>
      </c>
      <c r="G486" s="53">
        <v>825</v>
      </c>
      <c r="H486" s="52" t="s">
        <v>122</v>
      </c>
      <c r="I486" s="45" t="s">
        <v>122</v>
      </c>
      <c r="J486" s="41">
        <v>387</v>
      </c>
      <c r="K486" s="54" t="s">
        <v>23</v>
      </c>
      <c r="L486" s="54" t="s">
        <v>24</v>
      </c>
      <c r="M486" s="57">
        <v>106166</v>
      </c>
      <c r="N486" s="57">
        <v>11356</v>
      </c>
      <c r="O486" s="57">
        <v>36096</v>
      </c>
      <c r="P486" s="57">
        <v>142262</v>
      </c>
      <c r="Q486" s="77">
        <v>0.4</v>
      </c>
      <c r="R486" s="57">
        <v>56905</v>
      </c>
      <c r="S486" s="57">
        <v>199167.32</v>
      </c>
      <c r="T486" s="106">
        <f>IF(A486="Upgrade",IF(OR(H486=4,H486=5),_xlfn.XLOOKUP(I486,'Renewal Rates'!$A$22:$A$27,'Renewal Rates'!$B$22:$B$27,'Renewal Rates'!$B$27,0),'Renewal Rates'!$F$7),IF(A486="Renewal",100%,0%))</f>
        <v>2.6599999999999999E-2</v>
      </c>
      <c r="U486" s="68">
        <f t="shared" si="7"/>
        <v>5297.8507119999995</v>
      </c>
      <c r="V486" s="68"/>
    </row>
    <row r="487" spans="1:22" x14ac:dyDescent="0.3">
      <c r="A487" s="41" t="s">
        <v>21</v>
      </c>
      <c r="B487" s="51">
        <v>11.023</v>
      </c>
      <c r="C487" s="58">
        <v>2000895911</v>
      </c>
      <c r="D487" s="86">
        <v>70.97</v>
      </c>
      <c r="E487" s="86"/>
      <c r="F487" s="52">
        <v>375</v>
      </c>
      <c r="G487" s="53">
        <v>750</v>
      </c>
      <c r="H487" s="52" t="s">
        <v>122</v>
      </c>
      <c r="I487" s="45" t="s">
        <v>122</v>
      </c>
      <c r="J487" s="41">
        <v>385</v>
      </c>
      <c r="K487" s="54" t="s">
        <v>23</v>
      </c>
      <c r="L487" s="54" t="s">
        <v>24</v>
      </c>
      <c r="M487" s="57">
        <v>306600</v>
      </c>
      <c r="N487" s="57">
        <v>4320</v>
      </c>
      <c r="O487" s="57">
        <v>104244</v>
      </c>
      <c r="P487" s="57">
        <v>410844</v>
      </c>
      <c r="Q487" s="77">
        <v>0.4</v>
      </c>
      <c r="R487" s="57">
        <v>164337</v>
      </c>
      <c r="S487" s="57">
        <v>575181.06000000006</v>
      </c>
      <c r="T487" s="106">
        <f>IF(A487="Upgrade",IF(OR(H487=4,H487=5),_xlfn.XLOOKUP(I487,'Renewal Rates'!$A$22:$A$27,'Renewal Rates'!$B$22:$B$27,'Renewal Rates'!$B$27,0),'Renewal Rates'!$F$7),IF(A487="Renewal",100%,0%))</f>
        <v>2.6599999999999999E-2</v>
      </c>
      <c r="U487" s="68">
        <f t="shared" si="7"/>
        <v>15299.816196000002</v>
      </c>
      <c r="V487" s="68"/>
    </row>
    <row r="488" spans="1:22" x14ac:dyDescent="0.3">
      <c r="A488" s="41" t="s">
        <v>21</v>
      </c>
      <c r="B488" s="51">
        <v>5.008</v>
      </c>
      <c r="C488" s="58">
        <v>2000904239</v>
      </c>
      <c r="D488" s="86">
        <v>67.33</v>
      </c>
      <c r="E488" s="86"/>
      <c r="F488" s="52">
        <v>225</v>
      </c>
      <c r="G488" s="53">
        <v>750</v>
      </c>
      <c r="H488" s="52" t="s">
        <v>122</v>
      </c>
      <c r="I488" s="45" t="s">
        <v>122</v>
      </c>
      <c r="J488" s="41">
        <v>387</v>
      </c>
      <c r="K488" s="54" t="s">
        <v>23</v>
      </c>
      <c r="L488" s="54" t="s">
        <v>24</v>
      </c>
      <c r="M488" s="57">
        <v>301647</v>
      </c>
      <c r="N488" s="57">
        <v>4480</v>
      </c>
      <c r="O488" s="57">
        <v>102560</v>
      </c>
      <c r="P488" s="57">
        <v>404207</v>
      </c>
      <c r="Q488" s="77">
        <v>0.4</v>
      </c>
      <c r="R488" s="57">
        <v>161683</v>
      </c>
      <c r="S488" s="57">
        <v>565890.06999999995</v>
      </c>
      <c r="T488" s="106">
        <f>IF(A488="Upgrade",IF(OR(H488=4,H488=5),_xlfn.XLOOKUP(I488,'Renewal Rates'!$A$22:$A$27,'Renewal Rates'!$B$22:$B$27,'Renewal Rates'!$B$27,0),'Renewal Rates'!$F$7),IF(A488="Renewal",100%,0%))</f>
        <v>2.6599999999999999E-2</v>
      </c>
      <c r="U488" s="68">
        <f t="shared" si="7"/>
        <v>15052.675861999998</v>
      </c>
      <c r="V488" s="68"/>
    </row>
    <row r="489" spans="1:22" x14ac:dyDescent="0.3">
      <c r="A489" s="41" t="s">
        <v>21</v>
      </c>
      <c r="B489" s="51">
        <v>12.006</v>
      </c>
      <c r="C489" s="58">
        <v>2000834274</v>
      </c>
      <c r="D489" s="86">
        <v>27.69</v>
      </c>
      <c r="E489" s="86"/>
      <c r="F489" s="52">
        <v>750</v>
      </c>
      <c r="G489" s="53">
        <v>1275</v>
      </c>
      <c r="H489" s="52" t="s">
        <v>122</v>
      </c>
      <c r="I489" s="45" t="s">
        <v>122</v>
      </c>
      <c r="J489" s="41">
        <v>377</v>
      </c>
      <c r="K489" s="54" t="s">
        <v>23</v>
      </c>
      <c r="L489" s="54" t="s">
        <v>24</v>
      </c>
      <c r="M489" s="57">
        <v>209568</v>
      </c>
      <c r="N489" s="57">
        <v>7576</v>
      </c>
      <c r="O489" s="57">
        <v>71253</v>
      </c>
      <c r="P489" s="57">
        <v>280821</v>
      </c>
      <c r="Q489" s="77">
        <v>0.4</v>
      </c>
      <c r="R489" s="57">
        <v>112328</v>
      </c>
      <c r="S489" s="57">
        <v>393149.21</v>
      </c>
      <c r="T489" s="106">
        <f>IF(A489="Upgrade",IF(OR(H489=4,H489=5),_xlfn.XLOOKUP(I489,'Renewal Rates'!$A$22:$A$27,'Renewal Rates'!$B$22:$B$27,'Renewal Rates'!$B$27,0),'Renewal Rates'!$F$7),IF(A489="Renewal",100%,0%))</f>
        <v>2.6599999999999999E-2</v>
      </c>
      <c r="U489" s="68">
        <f t="shared" si="7"/>
        <v>10457.768985999999</v>
      </c>
      <c r="V489" s="68"/>
    </row>
    <row r="490" spans="1:22" x14ac:dyDescent="0.3">
      <c r="A490" s="41" t="s">
        <v>21</v>
      </c>
      <c r="B490" s="51">
        <v>1.0169999999999999</v>
      </c>
      <c r="C490" s="58">
        <v>2000060135</v>
      </c>
      <c r="D490" s="86">
        <v>89.27</v>
      </c>
      <c r="E490" s="86"/>
      <c r="F490" s="52">
        <v>225</v>
      </c>
      <c r="G490" s="53">
        <v>750</v>
      </c>
      <c r="H490" s="52" t="s">
        <v>122</v>
      </c>
      <c r="I490" s="45" t="s">
        <v>122</v>
      </c>
      <c r="J490" s="41">
        <v>385</v>
      </c>
      <c r="K490" s="54" t="s">
        <v>23</v>
      </c>
      <c r="L490" s="54" t="s">
        <v>24</v>
      </c>
      <c r="M490" s="57">
        <v>215445</v>
      </c>
      <c r="N490" s="57">
        <v>3995</v>
      </c>
      <c r="O490" s="57">
        <v>83148</v>
      </c>
      <c r="P490" s="57">
        <v>327700</v>
      </c>
      <c r="Q490" s="77">
        <v>0.4</v>
      </c>
      <c r="R490" s="57">
        <v>131080</v>
      </c>
      <c r="S490" s="57">
        <v>458780.16732800001</v>
      </c>
      <c r="T490" s="106">
        <f>IF(A490="Upgrade",IF(OR(H490=4,H490=5),_xlfn.XLOOKUP(I490,'Renewal Rates'!$A$22:$A$27,'Renewal Rates'!$B$22:$B$27,'Renewal Rates'!$B$27,0),'Renewal Rates'!$F$7),IF(A490="Renewal",100%,0%))</f>
        <v>2.6599999999999999E-2</v>
      </c>
      <c r="U490" s="68">
        <f t="shared" si="7"/>
        <v>12203.552450924799</v>
      </c>
      <c r="V490" s="68"/>
    </row>
    <row r="491" spans="1:22" x14ac:dyDescent="0.3">
      <c r="A491" s="41" t="s">
        <v>21</v>
      </c>
      <c r="B491" s="51">
        <v>1.0149999999999999</v>
      </c>
      <c r="C491" s="58">
        <v>2000238785</v>
      </c>
      <c r="D491" s="86">
        <v>66.53</v>
      </c>
      <c r="E491" s="86"/>
      <c r="F491" s="52">
        <v>225</v>
      </c>
      <c r="G491" s="53">
        <v>675</v>
      </c>
      <c r="H491" s="52" t="s">
        <v>122</v>
      </c>
      <c r="I491" s="45" t="s">
        <v>122</v>
      </c>
      <c r="J491" s="41">
        <v>385</v>
      </c>
      <c r="K491" s="54" t="s">
        <v>23</v>
      </c>
      <c r="L491" s="54" t="s">
        <v>24</v>
      </c>
      <c r="M491" s="57">
        <v>271197</v>
      </c>
      <c r="N491" s="57">
        <v>4076</v>
      </c>
      <c r="O491" s="57">
        <v>92207</v>
      </c>
      <c r="P491" s="57">
        <v>363404</v>
      </c>
      <c r="Q491" s="77">
        <v>0.4</v>
      </c>
      <c r="R491" s="57">
        <v>145362</v>
      </c>
      <c r="S491" s="57">
        <v>508766.28</v>
      </c>
      <c r="T491" s="106">
        <f>IF(A491="Upgrade",IF(OR(H491=4,H491=5),_xlfn.XLOOKUP(I491,'Renewal Rates'!$A$22:$A$27,'Renewal Rates'!$B$22:$B$27,'Renewal Rates'!$B$27,0),'Renewal Rates'!$F$7),IF(A491="Renewal",100%,0%))</f>
        <v>2.6599999999999999E-2</v>
      </c>
      <c r="U491" s="68">
        <f t="shared" si="7"/>
        <v>13533.183048000001</v>
      </c>
      <c r="V491" s="68"/>
    </row>
    <row r="492" spans="1:22" x14ac:dyDescent="0.3">
      <c r="A492" s="41" t="s">
        <v>21</v>
      </c>
      <c r="B492" s="51">
        <v>2.0590000000000002</v>
      </c>
      <c r="C492" s="58">
        <v>2000261028</v>
      </c>
      <c r="D492" s="86">
        <v>85.31</v>
      </c>
      <c r="E492" s="86"/>
      <c r="F492" s="52">
        <v>300</v>
      </c>
      <c r="G492" s="53">
        <v>750</v>
      </c>
      <c r="H492" s="52" t="s">
        <v>122</v>
      </c>
      <c r="I492" s="45" t="s">
        <v>122</v>
      </c>
      <c r="J492" s="41">
        <v>385</v>
      </c>
      <c r="K492" s="54" t="s">
        <v>23</v>
      </c>
      <c r="L492" s="54" t="s">
        <v>24</v>
      </c>
      <c r="M492" s="57">
        <v>345538</v>
      </c>
      <c r="N492" s="57">
        <v>4050</v>
      </c>
      <c r="O492" s="57">
        <v>117483</v>
      </c>
      <c r="P492" s="57">
        <v>463020</v>
      </c>
      <c r="Q492" s="77">
        <v>0.4</v>
      </c>
      <c r="R492" s="57">
        <v>185208</v>
      </c>
      <c r="S492" s="57">
        <v>648228.38</v>
      </c>
      <c r="T492" s="106">
        <f>IF(A492="Upgrade",IF(OR(H492=4,H492=5),_xlfn.XLOOKUP(I492,'Renewal Rates'!$A$22:$A$27,'Renewal Rates'!$B$22:$B$27,'Renewal Rates'!$B$27,0),'Renewal Rates'!$F$7),IF(A492="Renewal",100%,0%))</f>
        <v>2.6599999999999999E-2</v>
      </c>
      <c r="U492" s="68">
        <f t="shared" si="7"/>
        <v>17242.874907999998</v>
      </c>
      <c r="V492" s="68"/>
    </row>
    <row r="493" spans="1:22" x14ac:dyDescent="0.3">
      <c r="A493" s="41" t="s">
        <v>21</v>
      </c>
      <c r="B493" s="51">
        <v>5.0019999999999998</v>
      </c>
      <c r="C493" s="58">
        <v>2000741797</v>
      </c>
      <c r="D493" s="86">
        <v>67.349999999999994</v>
      </c>
      <c r="E493" s="86"/>
      <c r="F493" s="52">
        <v>225</v>
      </c>
      <c r="G493" s="53">
        <v>900</v>
      </c>
      <c r="H493" s="52" t="s">
        <v>122</v>
      </c>
      <c r="I493" s="45" t="s">
        <v>122</v>
      </c>
      <c r="J493" s="41">
        <v>387</v>
      </c>
      <c r="K493" s="54" t="s">
        <v>23</v>
      </c>
      <c r="L493" s="54" t="s">
        <v>24</v>
      </c>
      <c r="M493" s="57">
        <v>370681</v>
      </c>
      <c r="N493" s="57">
        <v>5504</v>
      </c>
      <c r="O493" s="57">
        <v>126031</v>
      </c>
      <c r="P493" s="57">
        <v>496712</v>
      </c>
      <c r="Q493" s="77">
        <v>0.4</v>
      </c>
      <c r="R493" s="57">
        <v>198685</v>
      </c>
      <c r="S493" s="57">
        <v>695397</v>
      </c>
      <c r="T493" s="106">
        <f>IF(A493="Upgrade",IF(OR(H493=4,H493=5),_xlfn.XLOOKUP(I493,'Renewal Rates'!$A$22:$A$27,'Renewal Rates'!$B$22:$B$27,'Renewal Rates'!$B$27,0),'Renewal Rates'!$F$7),IF(A493="Renewal",100%,0%))</f>
        <v>2.6599999999999999E-2</v>
      </c>
      <c r="U493" s="68">
        <f t="shared" si="7"/>
        <v>18497.5602</v>
      </c>
      <c r="V493" s="68"/>
    </row>
    <row r="494" spans="1:22" x14ac:dyDescent="0.3">
      <c r="A494" s="41" t="s">
        <v>21</v>
      </c>
      <c r="B494" s="51">
        <v>4.01</v>
      </c>
      <c r="C494" s="58">
        <v>2000084415</v>
      </c>
      <c r="D494" s="86">
        <v>11.42</v>
      </c>
      <c r="E494" s="86"/>
      <c r="F494" s="52">
        <v>600</v>
      </c>
      <c r="G494" s="53">
        <v>825</v>
      </c>
      <c r="H494" s="52">
        <v>4</v>
      </c>
      <c r="I494" s="45">
        <v>2</v>
      </c>
      <c r="J494" s="41">
        <v>386</v>
      </c>
      <c r="K494" s="54" t="s">
        <v>23</v>
      </c>
      <c r="L494" s="54" t="s">
        <v>24</v>
      </c>
      <c r="M494" s="57">
        <v>85925</v>
      </c>
      <c r="N494" s="57">
        <v>7523</v>
      </c>
      <c r="O494" s="57">
        <v>29215</v>
      </c>
      <c r="P494" s="57">
        <v>115140</v>
      </c>
      <c r="Q494" s="77">
        <v>0.4</v>
      </c>
      <c r="R494" s="57">
        <v>46056</v>
      </c>
      <c r="S494" s="57">
        <v>161195.78</v>
      </c>
      <c r="T494" s="106">
        <f>IF(A494="Upgrade",IF(OR(H494=4,H494=5),_xlfn.XLOOKUP(I494,'Renewal Rates'!$A$22:$A$27,'Renewal Rates'!$B$22:$B$27,'Renewal Rates'!$B$27,0),'Renewal Rates'!$F$7),IF(A494="Renewal",100%,0%))</f>
        <v>0</v>
      </c>
      <c r="U494" s="68">
        <f t="shared" si="7"/>
        <v>0</v>
      </c>
      <c r="V494" s="68"/>
    </row>
    <row r="495" spans="1:22" x14ac:dyDescent="0.3">
      <c r="A495" s="41" t="s">
        <v>21</v>
      </c>
      <c r="B495" s="51">
        <v>1.02</v>
      </c>
      <c r="C495" s="58">
        <v>2000680737</v>
      </c>
      <c r="D495" s="86">
        <v>7.4</v>
      </c>
      <c r="E495" s="86"/>
      <c r="F495" s="52">
        <v>750</v>
      </c>
      <c r="G495" s="53">
        <v>1125</v>
      </c>
      <c r="H495" s="52" t="s">
        <v>122</v>
      </c>
      <c r="I495" s="45" t="s">
        <v>122</v>
      </c>
      <c r="J495" s="41">
        <v>385</v>
      </c>
      <c r="K495" s="54" t="s">
        <v>23</v>
      </c>
      <c r="L495" s="54" t="s">
        <v>24</v>
      </c>
      <c r="M495" s="57">
        <v>143959</v>
      </c>
      <c r="N495" s="57">
        <v>19459</v>
      </c>
      <c r="O495" s="57">
        <v>48946</v>
      </c>
      <c r="P495" s="57">
        <v>192906</v>
      </c>
      <c r="Q495" s="77">
        <v>0.4</v>
      </c>
      <c r="R495" s="57">
        <v>77162</v>
      </c>
      <c r="S495" s="57">
        <v>270067.78999999998</v>
      </c>
      <c r="T495" s="106">
        <f>IF(A495="Upgrade",IF(OR(H495=4,H495=5),_xlfn.XLOOKUP(I495,'Renewal Rates'!$A$22:$A$27,'Renewal Rates'!$B$22:$B$27,'Renewal Rates'!$B$27,0),'Renewal Rates'!$F$7),IF(A495="Renewal",100%,0%))</f>
        <v>2.6599999999999999E-2</v>
      </c>
      <c r="U495" s="68">
        <f t="shared" si="7"/>
        <v>7183.8032139999987</v>
      </c>
      <c r="V495" s="68"/>
    </row>
    <row r="496" spans="1:22" x14ac:dyDescent="0.3">
      <c r="A496" s="41" t="s">
        <v>21</v>
      </c>
      <c r="B496" s="51">
        <v>5.01</v>
      </c>
      <c r="C496" s="58">
        <v>2000651226</v>
      </c>
      <c r="D496" s="86">
        <v>4.5</v>
      </c>
      <c r="E496" s="86"/>
      <c r="F496" s="52">
        <v>400</v>
      </c>
      <c r="G496" s="53">
        <v>975</v>
      </c>
      <c r="H496" s="52" t="s">
        <v>122</v>
      </c>
      <c r="I496" s="45" t="s">
        <v>122</v>
      </c>
      <c r="J496" s="41">
        <v>387</v>
      </c>
      <c r="K496" s="54" t="s">
        <v>23</v>
      </c>
      <c r="L496" s="54" t="s">
        <v>24</v>
      </c>
      <c r="M496" s="57">
        <v>75354</v>
      </c>
      <c r="N496" s="57">
        <v>16730</v>
      </c>
      <c r="O496" s="57">
        <v>25620</v>
      </c>
      <c r="P496" s="57">
        <v>100974</v>
      </c>
      <c r="Q496" s="77">
        <v>0.4</v>
      </c>
      <c r="R496" s="57">
        <v>40390</v>
      </c>
      <c r="S496" s="57">
        <v>141363.96</v>
      </c>
      <c r="T496" s="106">
        <f>IF(A496="Upgrade",IF(OR(H496=4,H496=5),_xlfn.XLOOKUP(I496,'Renewal Rates'!$A$22:$A$27,'Renewal Rates'!$B$22:$B$27,'Renewal Rates'!$B$27,0),'Renewal Rates'!$F$7),IF(A496="Renewal",100%,0%))</f>
        <v>2.6599999999999999E-2</v>
      </c>
      <c r="U496" s="68">
        <f t="shared" si="7"/>
        <v>3760.2813359999996</v>
      </c>
      <c r="V496" s="68"/>
    </row>
    <row r="497" spans="1:22" x14ac:dyDescent="0.3">
      <c r="A497" s="41" t="s">
        <v>21</v>
      </c>
      <c r="B497" s="51">
        <v>2.0310000000000001</v>
      </c>
      <c r="C497" s="58">
        <v>2000033426</v>
      </c>
      <c r="D497" s="86">
        <v>81.56</v>
      </c>
      <c r="E497" s="86"/>
      <c r="F497" s="52">
        <v>450</v>
      </c>
      <c r="G497" s="53">
        <v>825</v>
      </c>
      <c r="H497" s="52">
        <v>4</v>
      </c>
      <c r="I497" s="45">
        <v>2</v>
      </c>
      <c r="J497" s="41">
        <v>385</v>
      </c>
      <c r="K497" s="54" t="s">
        <v>23</v>
      </c>
      <c r="L497" s="54" t="s">
        <v>24</v>
      </c>
      <c r="M497" s="57">
        <v>372340</v>
      </c>
      <c r="N497" s="57">
        <v>4565</v>
      </c>
      <c r="O497" s="57">
        <v>126596</v>
      </c>
      <c r="P497" s="57">
        <v>498936</v>
      </c>
      <c r="Q497" s="77">
        <v>0.4</v>
      </c>
      <c r="R497" s="57">
        <v>199574</v>
      </c>
      <c r="S497" s="57">
        <v>698510.29</v>
      </c>
      <c r="T497" s="106">
        <f>IF(A497="Upgrade",IF(OR(H497=4,H497=5),_xlfn.XLOOKUP(I497,'Renewal Rates'!$A$22:$A$27,'Renewal Rates'!$B$22:$B$27,'Renewal Rates'!$B$27,0),'Renewal Rates'!$F$7),IF(A497="Renewal",100%,0%))</f>
        <v>0</v>
      </c>
      <c r="U497" s="68">
        <f t="shared" si="7"/>
        <v>0</v>
      </c>
      <c r="V497" s="68"/>
    </row>
    <row r="498" spans="1:22" x14ac:dyDescent="0.3">
      <c r="A498" s="41" t="s">
        <v>21</v>
      </c>
      <c r="B498" s="51">
        <v>2.0299999999999998</v>
      </c>
      <c r="C498" s="58">
        <v>2000668842</v>
      </c>
      <c r="D498" s="86">
        <v>79.81</v>
      </c>
      <c r="E498" s="86"/>
      <c r="F498" s="52">
        <v>225</v>
      </c>
      <c r="G498" s="53">
        <v>900</v>
      </c>
      <c r="H498" s="52" t="s">
        <v>122</v>
      </c>
      <c r="I498" s="45" t="s">
        <v>122</v>
      </c>
      <c r="J498" s="41">
        <v>385</v>
      </c>
      <c r="K498" s="54" t="s">
        <v>23</v>
      </c>
      <c r="L498" s="54" t="s">
        <v>24</v>
      </c>
      <c r="M498" s="57">
        <v>327424</v>
      </c>
      <c r="N498" s="57">
        <v>4103</v>
      </c>
      <c r="O498" s="57">
        <v>148614</v>
      </c>
      <c r="P498" s="57">
        <v>585713</v>
      </c>
      <c r="Q498" s="77">
        <v>0.4</v>
      </c>
      <c r="R498" s="57">
        <v>234285</v>
      </c>
      <c r="S498" s="57">
        <v>819998.18943560007</v>
      </c>
      <c r="T498" s="106">
        <f>IF(A498="Upgrade",IF(OR(H498=4,H498=5),_xlfn.XLOOKUP(I498,'Renewal Rates'!$A$22:$A$27,'Renewal Rates'!$B$22:$B$27,'Renewal Rates'!$B$27,0),'Renewal Rates'!$F$7),IF(A498="Renewal",100%,0%))</f>
        <v>2.6599999999999999E-2</v>
      </c>
      <c r="U498" s="68">
        <f t="shared" si="7"/>
        <v>21811.951838986959</v>
      </c>
      <c r="V498" s="68"/>
    </row>
    <row r="499" spans="1:22" x14ac:dyDescent="0.3">
      <c r="A499" s="41" t="s">
        <v>21</v>
      </c>
      <c r="B499" s="51">
        <v>4.0140000000000002</v>
      </c>
      <c r="C499" s="58">
        <v>2000046263</v>
      </c>
      <c r="D499" s="86">
        <v>6.8758280000000003</v>
      </c>
      <c r="E499" s="86"/>
      <c r="F499" s="52">
        <v>1200</v>
      </c>
      <c r="G499" s="53">
        <v>1275</v>
      </c>
      <c r="H499" s="52" t="s">
        <v>122</v>
      </c>
      <c r="I499" s="45" t="s">
        <v>122</v>
      </c>
      <c r="J499" s="41">
        <v>386</v>
      </c>
      <c r="K499" s="54" t="s">
        <v>23</v>
      </c>
      <c r="L499" s="54" t="s">
        <v>24</v>
      </c>
      <c r="M499" s="57">
        <v>66217</v>
      </c>
      <c r="N499" s="57">
        <v>9630</v>
      </c>
      <c r="O499" s="57">
        <v>22514</v>
      </c>
      <c r="P499" s="57">
        <v>88731</v>
      </c>
      <c r="Q499" s="77">
        <v>0.4</v>
      </c>
      <c r="R499" s="57">
        <v>35493</v>
      </c>
      <c r="S499" s="57">
        <v>124223.81</v>
      </c>
      <c r="T499" s="106">
        <f>IF(A499="Upgrade",IF(OR(H499=4,H499=5),_xlfn.XLOOKUP(I499,'Renewal Rates'!$A$22:$A$27,'Renewal Rates'!$B$22:$B$27,'Renewal Rates'!$B$27,0),'Renewal Rates'!$F$7),IF(A499="Renewal",100%,0%))</f>
        <v>2.6599999999999999E-2</v>
      </c>
      <c r="U499" s="68">
        <f t="shared" si="7"/>
        <v>3304.3533459999999</v>
      </c>
      <c r="V499" s="68"/>
    </row>
    <row r="500" spans="1:22" x14ac:dyDescent="0.3">
      <c r="A500" s="41" t="s">
        <v>21</v>
      </c>
      <c r="B500" s="51">
        <v>4.008</v>
      </c>
      <c r="C500" s="58">
        <v>2000847426</v>
      </c>
      <c r="D500" s="86">
        <v>22.47</v>
      </c>
      <c r="E500" s="86"/>
      <c r="F500" s="52">
        <v>375</v>
      </c>
      <c r="G500" s="53">
        <v>975</v>
      </c>
      <c r="H500" s="52">
        <v>4</v>
      </c>
      <c r="I500" s="45">
        <v>4</v>
      </c>
      <c r="J500" s="41">
        <v>386</v>
      </c>
      <c r="K500" s="54" t="s">
        <v>23</v>
      </c>
      <c r="L500" s="54" t="s">
        <v>24</v>
      </c>
      <c r="M500" s="57">
        <v>176747</v>
      </c>
      <c r="N500" s="57">
        <v>7866</v>
      </c>
      <c r="O500" s="57">
        <v>60094</v>
      </c>
      <c r="P500" s="57">
        <v>236841</v>
      </c>
      <c r="Q500" s="77">
        <v>0.4</v>
      </c>
      <c r="R500" s="57">
        <v>94736</v>
      </c>
      <c r="S500" s="57">
        <v>331577.40000000002</v>
      </c>
      <c r="T500" s="106">
        <f>IF(A500="Upgrade",IF(OR(H500=4,H500=5),_xlfn.XLOOKUP(I500,'Renewal Rates'!$A$22:$A$27,'Renewal Rates'!$B$22:$B$27,'Renewal Rates'!$B$27,0),'Renewal Rates'!$F$7),IF(A500="Renewal",100%,0%))</f>
        <v>0.7</v>
      </c>
      <c r="U500" s="68">
        <f t="shared" si="7"/>
        <v>232104.18</v>
      </c>
      <c r="V500" s="68"/>
    </row>
    <row r="501" spans="1:22" x14ac:dyDescent="0.3">
      <c r="A501" s="41" t="s">
        <v>21</v>
      </c>
      <c r="B501" s="51">
        <v>1.0169999999999999</v>
      </c>
      <c r="C501" s="58">
        <v>2000063396</v>
      </c>
      <c r="D501" s="86">
        <v>28.79</v>
      </c>
      <c r="E501" s="86"/>
      <c r="F501" s="52">
        <v>225</v>
      </c>
      <c r="G501" s="53">
        <v>750</v>
      </c>
      <c r="H501" s="52" t="s">
        <v>122</v>
      </c>
      <c r="I501" s="45" t="s">
        <v>122</v>
      </c>
      <c r="J501" s="41">
        <v>385</v>
      </c>
      <c r="K501" s="54" t="s">
        <v>23</v>
      </c>
      <c r="L501" s="54" t="s">
        <v>24</v>
      </c>
      <c r="M501" s="57">
        <v>112445</v>
      </c>
      <c r="N501" s="57">
        <v>3905</v>
      </c>
      <c r="O501" s="57">
        <v>49983</v>
      </c>
      <c r="P501" s="57">
        <v>196994</v>
      </c>
      <c r="Q501" s="77">
        <v>0.4</v>
      </c>
      <c r="R501" s="57">
        <v>78798</v>
      </c>
      <c r="S501" s="57">
        <v>275791.30047560006</v>
      </c>
      <c r="T501" s="106">
        <f>IF(A501="Upgrade",IF(OR(H501=4,H501=5),_xlfn.XLOOKUP(I501,'Renewal Rates'!$A$22:$A$27,'Renewal Rates'!$B$22:$B$27,'Renewal Rates'!$B$27,0),'Renewal Rates'!$F$7),IF(A501="Renewal",100%,0%))</f>
        <v>2.6599999999999999E-2</v>
      </c>
      <c r="U501" s="68">
        <f t="shared" si="7"/>
        <v>7336.0485926509609</v>
      </c>
      <c r="V501" s="68"/>
    </row>
    <row r="502" spans="1:22" x14ac:dyDescent="0.3">
      <c r="A502" s="41" t="s">
        <v>21</v>
      </c>
      <c r="B502" s="51">
        <v>5.008</v>
      </c>
      <c r="C502" s="58">
        <v>2000497054</v>
      </c>
      <c r="D502" s="86">
        <v>8.33</v>
      </c>
      <c r="E502" s="86"/>
      <c r="F502" s="52">
        <v>300</v>
      </c>
      <c r="G502" s="53">
        <v>750</v>
      </c>
      <c r="H502" s="52" t="s">
        <v>122</v>
      </c>
      <c r="I502" s="45" t="s">
        <v>122</v>
      </c>
      <c r="J502" s="41">
        <v>387</v>
      </c>
      <c r="K502" s="54" t="s">
        <v>23</v>
      </c>
      <c r="L502" s="54" t="s">
        <v>24</v>
      </c>
      <c r="M502" s="57">
        <v>60876</v>
      </c>
      <c r="N502" s="57">
        <v>7306</v>
      </c>
      <c r="O502" s="57">
        <v>20698</v>
      </c>
      <c r="P502" s="57">
        <v>81574</v>
      </c>
      <c r="Q502" s="77">
        <v>0.4</v>
      </c>
      <c r="R502" s="57">
        <v>32630</v>
      </c>
      <c r="S502" s="57">
        <v>114203.34</v>
      </c>
      <c r="T502" s="106">
        <f>IF(A502="Upgrade",IF(OR(H502=4,H502=5),_xlfn.XLOOKUP(I502,'Renewal Rates'!$A$22:$A$27,'Renewal Rates'!$B$22:$B$27,'Renewal Rates'!$B$27,0),'Renewal Rates'!$F$7),IF(A502="Renewal",100%,0%))</f>
        <v>2.6599999999999999E-2</v>
      </c>
      <c r="U502" s="68">
        <f t="shared" si="7"/>
        <v>3037.8088439999997</v>
      </c>
      <c r="V502" s="68"/>
    </row>
    <row r="503" spans="1:22" x14ac:dyDescent="0.3">
      <c r="A503" s="41" t="s">
        <v>21</v>
      </c>
      <c r="B503" s="51">
        <v>4.0049999999999999</v>
      </c>
      <c r="C503" s="58">
        <v>2000927727</v>
      </c>
      <c r="D503" s="86">
        <v>11.62</v>
      </c>
      <c r="E503" s="86"/>
      <c r="F503" s="52">
        <v>675</v>
      </c>
      <c r="G503" s="53">
        <v>975</v>
      </c>
      <c r="H503" s="52">
        <v>4</v>
      </c>
      <c r="I503" s="45">
        <v>1</v>
      </c>
      <c r="J503" s="41">
        <v>386</v>
      </c>
      <c r="K503" s="54" t="s">
        <v>23</v>
      </c>
      <c r="L503" s="54" t="s">
        <v>24</v>
      </c>
      <c r="M503" s="57">
        <v>111249</v>
      </c>
      <c r="N503" s="57">
        <v>9571</v>
      </c>
      <c r="O503" s="57">
        <v>37825</v>
      </c>
      <c r="P503" s="57">
        <v>149074</v>
      </c>
      <c r="Q503" s="77">
        <v>0.4</v>
      </c>
      <c r="R503" s="57">
        <v>59630</v>
      </c>
      <c r="S503" s="57">
        <v>208703.94</v>
      </c>
      <c r="T503" s="106">
        <f>IF(A503="Upgrade",IF(OR(H503=4,H503=5),_xlfn.XLOOKUP(I503,'Renewal Rates'!$A$22:$A$27,'Renewal Rates'!$B$22:$B$27,'Renewal Rates'!$B$27,0),'Renewal Rates'!$F$7),IF(A503="Renewal",100%,0%))</f>
        <v>0</v>
      </c>
      <c r="U503" s="68">
        <f t="shared" si="7"/>
        <v>0</v>
      </c>
      <c r="V503" s="68"/>
    </row>
    <row r="504" spans="1:22" x14ac:dyDescent="0.3">
      <c r="A504" s="41" t="s">
        <v>21</v>
      </c>
      <c r="B504" s="51">
        <v>3.0630000000000002</v>
      </c>
      <c r="C504" s="58">
        <v>2000736178</v>
      </c>
      <c r="D504" s="86">
        <v>14.13</v>
      </c>
      <c r="E504" s="86"/>
      <c r="F504" s="52">
        <v>225</v>
      </c>
      <c r="G504" s="53">
        <v>750</v>
      </c>
      <c r="H504" s="52" t="s">
        <v>122</v>
      </c>
      <c r="I504" s="45" t="s">
        <v>122</v>
      </c>
      <c r="J504" s="41">
        <v>386</v>
      </c>
      <c r="K504" s="54" t="s">
        <v>23</v>
      </c>
      <c r="L504" s="54" t="s">
        <v>24</v>
      </c>
      <c r="M504" s="57">
        <v>88197</v>
      </c>
      <c r="N504" s="57">
        <v>6242</v>
      </c>
      <c r="O504" s="57">
        <v>29987</v>
      </c>
      <c r="P504" s="57">
        <v>118184</v>
      </c>
      <c r="Q504" s="77">
        <v>0.4</v>
      </c>
      <c r="R504" s="57">
        <v>47274</v>
      </c>
      <c r="S504" s="57">
        <v>165457.44</v>
      </c>
      <c r="T504" s="106">
        <f>IF(A504="Upgrade",IF(OR(H504=4,H504=5),_xlfn.XLOOKUP(I504,'Renewal Rates'!$A$22:$A$27,'Renewal Rates'!$B$22:$B$27,'Renewal Rates'!$B$27,0),'Renewal Rates'!$F$7),IF(A504="Renewal",100%,0%))</f>
        <v>2.6599999999999999E-2</v>
      </c>
      <c r="U504" s="68">
        <f t="shared" si="7"/>
        <v>4401.1679039999999</v>
      </c>
      <c r="V504" s="68"/>
    </row>
    <row r="505" spans="1:22" x14ac:dyDescent="0.3">
      <c r="A505" s="41" t="s">
        <v>21</v>
      </c>
      <c r="B505" s="51">
        <v>5.008</v>
      </c>
      <c r="C505" s="58">
        <v>2000488050</v>
      </c>
      <c r="D505" s="86">
        <v>11.08</v>
      </c>
      <c r="E505" s="86"/>
      <c r="F505" s="52">
        <v>450</v>
      </c>
      <c r="G505" s="53">
        <v>750</v>
      </c>
      <c r="H505" s="52" t="s">
        <v>122</v>
      </c>
      <c r="I505" s="45" t="s">
        <v>122</v>
      </c>
      <c r="J505" s="41">
        <v>387</v>
      </c>
      <c r="K505" s="54" t="s">
        <v>23</v>
      </c>
      <c r="L505" s="54" t="s">
        <v>24</v>
      </c>
      <c r="M505" s="57">
        <v>84057</v>
      </c>
      <c r="N505" s="57">
        <v>7583</v>
      </c>
      <c r="O505" s="57">
        <v>28579</v>
      </c>
      <c r="P505" s="57">
        <v>112636</v>
      </c>
      <c r="Q505" s="77">
        <v>0.4</v>
      </c>
      <c r="R505" s="57">
        <v>45054</v>
      </c>
      <c r="S505" s="57">
        <v>157690.26999999999</v>
      </c>
      <c r="T505" s="106">
        <f>IF(A505="Upgrade",IF(OR(H505=4,H505=5),_xlfn.XLOOKUP(I505,'Renewal Rates'!$A$22:$A$27,'Renewal Rates'!$B$22:$B$27,'Renewal Rates'!$B$27,0),'Renewal Rates'!$F$7),IF(A505="Renewal",100%,0%))</f>
        <v>2.6599999999999999E-2</v>
      </c>
      <c r="U505" s="68">
        <f t="shared" si="7"/>
        <v>4194.5611819999995</v>
      </c>
      <c r="V505" s="68"/>
    </row>
    <row r="506" spans="1:22" x14ac:dyDescent="0.3">
      <c r="A506" s="41" t="s">
        <v>21</v>
      </c>
      <c r="B506" s="51">
        <v>4.008</v>
      </c>
      <c r="C506" s="58">
        <v>2000472526</v>
      </c>
      <c r="D506" s="86">
        <v>16.78</v>
      </c>
      <c r="E506" s="86"/>
      <c r="F506" s="52">
        <v>375</v>
      </c>
      <c r="G506" s="53">
        <v>975</v>
      </c>
      <c r="H506" s="52">
        <v>5</v>
      </c>
      <c r="I506" s="45">
        <v>2</v>
      </c>
      <c r="J506" s="41">
        <v>386</v>
      </c>
      <c r="K506" s="54" t="s">
        <v>23</v>
      </c>
      <c r="L506" s="54" t="s">
        <v>24</v>
      </c>
      <c r="M506" s="57">
        <v>143498</v>
      </c>
      <c r="N506" s="57">
        <v>8553</v>
      </c>
      <c r="O506" s="57">
        <v>48789</v>
      </c>
      <c r="P506" s="57">
        <v>192287</v>
      </c>
      <c r="Q506" s="77">
        <v>0.4</v>
      </c>
      <c r="R506" s="57">
        <v>76915</v>
      </c>
      <c r="S506" s="57">
        <v>269202.34000000003</v>
      </c>
      <c r="T506" s="106">
        <f>IF(A506="Upgrade",IF(OR(H506=4,H506=5),_xlfn.XLOOKUP(I506,'Renewal Rates'!$A$22:$A$27,'Renewal Rates'!$B$22:$B$27,'Renewal Rates'!$B$27,0),'Renewal Rates'!$F$7),IF(A506="Renewal",100%,0%))</f>
        <v>0</v>
      </c>
      <c r="U506" s="68">
        <f t="shared" si="7"/>
        <v>0</v>
      </c>
      <c r="V506" s="68"/>
    </row>
    <row r="507" spans="1:22" x14ac:dyDescent="0.3">
      <c r="A507" s="41" t="s">
        <v>21</v>
      </c>
      <c r="B507" s="51">
        <v>2.0310000000000001</v>
      </c>
      <c r="C507" s="58">
        <v>2000605256</v>
      </c>
      <c r="D507" s="86">
        <v>50.29</v>
      </c>
      <c r="E507" s="86"/>
      <c r="F507" s="52">
        <v>450</v>
      </c>
      <c r="G507" s="53">
        <v>825</v>
      </c>
      <c r="H507" s="52" t="s">
        <v>122</v>
      </c>
      <c r="I507" s="45" t="s">
        <v>122</v>
      </c>
      <c r="J507" s="41">
        <v>385</v>
      </c>
      <c r="K507" s="54" t="s">
        <v>23</v>
      </c>
      <c r="L507" s="54" t="s">
        <v>24</v>
      </c>
      <c r="M507" s="57">
        <v>151550</v>
      </c>
      <c r="N507" s="57">
        <v>5230</v>
      </c>
      <c r="O507" s="57">
        <v>51527</v>
      </c>
      <c r="P507" s="57">
        <v>203077</v>
      </c>
      <c r="Q507" s="77">
        <v>0.4</v>
      </c>
      <c r="R507" s="57">
        <v>81231</v>
      </c>
      <c r="S507" s="57">
        <v>284307.21000000002</v>
      </c>
      <c r="T507" s="106">
        <f>IF(A507="Upgrade",IF(OR(H507=4,H507=5),_xlfn.XLOOKUP(I507,'Renewal Rates'!$A$22:$A$27,'Renewal Rates'!$B$22:$B$27,'Renewal Rates'!$B$27,0),'Renewal Rates'!$F$7),IF(A507="Renewal",100%,0%))</f>
        <v>2.6599999999999999E-2</v>
      </c>
      <c r="U507" s="68">
        <f t="shared" si="7"/>
        <v>7562.5717860000004</v>
      </c>
      <c r="V507" s="68"/>
    </row>
    <row r="508" spans="1:22" x14ac:dyDescent="0.3">
      <c r="A508" s="41" t="s">
        <v>21</v>
      </c>
      <c r="B508" s="51">
        <v>11.026</v>
      </c>
      <c r="C508" s="58">
        <v>2000316710</v>
      </c>
      <c r="D508" s="86">
        <v>82.84</v>
      </c>
      <c r="E508" s="86"/>
      <c r="F508" s="52">
        <v>675</v>
      </c>
      <c r="G508" s="53">
        <v>1125</v>
      </c>
      <c r="H508" s="52" t="s">
        <v>122</v>
      </c>
      <c r="I508" s="45" t="s">
        <v>122</v>
      </c>
      <c r="J508" s="41">
        <v>385</v>
      </c>
      <c r="K508" s="54" t="s">
        <v>23</v>
      </c>
      <c r="L508" s="54" t="s">
        <v>24</v>
      </c>
      <c r="M508" s="57">
        <v>580076</v>
      </c>
      <c r="N508" s="57">
        <v>7009</v>
      </c>
      <c r="O508" s="57">
        <v>197226</v>
      </c>
      <c r="P508" s="57">
        <v>777302</v>
      </c>
      <c r="Q508" s="77">
        <v>0.4</v>
      </c>
      <c r="R508" s="57">
        <v>310921</v>
      </c>
      <c r="S508" s="57">
        <v>1088222.3600000001</v>
      </c>
      <c r="T508" s="106">
        <f>IF(A508="Upgrade",IF(OR(H508=4,H508=5),_xlfn.XLOOKUP(I508,'Renewal Rates'!$A$22:$A$27,'Renewal Rates'!$B$22:$B$27,'Renewal Rates'!$B$27,0),'Renewal Rates'!$F$7),IF(A508="Renewal",100%,0%))</f>
        <v>2.6599999999999999E-2</v>
      </c>
      <c r="U508" s="68">
        <f t="shared" si="7"/>
        <v>28946.714776000001</v>
      </c>
      <c r="V508" s="68"/>
    </row>
    <row r="509" spans="1:22" x14ac:dyDescent="0.3">
      <c r="A509" s="41" t="s">
        <v>21</v>
      </c>
      <c r="B509" s="51">
        <v>4.008</v>
      </c>
      <c r="C509" s="58">
        <v>2000113420</v>
      </c>
      <c r="D509" s="86">
        <v>18.850000000000001</v>
      </c>
      <c r="E509" s="86"/>
      <c r="F509" s="52">
        <v>525</v>
      </c>
      <c r="G509" s="53">
        <v>975</v>
      </c>
      <c r="H509" s="52">
        <v>4</v>
      </c>
      <c r="I509" s="45">
        <v>2</v>
      </c>
      <c r="J509" s="41">
        <v>386</v>
      </c>
      <c r="K509" s="54" t="s">
        <v>23</v>
      </c>
      <c r="L509" s="54" t="s">
        <v>24</v>
      </c>
      <c r="M509" s="57">
        <v>186352</v>
      </c>
      <c r="N509" s="57">
        <v>9884</v>
      </c>
      <c r="O509" s="57">
        <v>63360</v>
      </c>
      <c r="P509" s="57">
        <v>249712</v>
      </c>
      <c r="Q509" s="77">
        <v>0.4</v>
      </c>
      <c r="R509" s="57">
        <v>99885</v>
      </c>
      <c r="S509" s="57">
        <v>349596.59</v>
      </c>
      <c r="T509" s="106">
        <f>IF(A509="Upgrade",IF(OR(H509=4,H509=5),_xlfn.XLOOKUP(I509,'Renewal Rates'!$A$22:$A$27,'Renewal Rates'!$B$22:$B$27,'Renewal Rates'!$B$27,0),'Renewal Rates'!$F$7),IF(A509="Renewal",100%,0%))</f>
        <v>0</v>
      </c>
      <c r="U509" s="68">
        <f t="shared" si="7"/>
        <v>0</v>
      </c>
      <c r="V509" s="68"/>
    </row>
    <row r="510" spans="1:22" x14ac:dyDescent="0.3">
      <c r="A510" s="41" t="s">
        <v>21</v>
      </c>
      <c r="B510" s="51">
        <v>3.0379999999999998</v>
      </c>
      <c r="C510" s="58">
        <v>2000881721</v>
      </c>
      <c r="D510" s="86">
        <v>14.31</v>
      </c>
      <c r="E510" s="86"/>
      <c r="F510" s="52">
        <v>300</v>
      </c>
      <c r="G510" s="53">
        <v>975</v>
      </c>
      <c r="H510" s="52" t="s">
        <v>122</v>
      </c>
      <c r="I510" s="45" t="s">
        <v>122</v>
      </c>
      <c r="J510" s="41">
        <v>386</v>
      </c>
      <c r="K510" s="54" t="s">
        <v>23</v>
      </c>
      <c r="L510" s="54" t="s">
        <v>24</v>
      </c>
      <c r="M510" s="57">
        <v>116242</v>
      </c>
      <c r="N510" s="57">
        <v>8121</v>
      </c>
      <c r="O510" s="57">
        <v>39522</v>
      </c>
      <c r="P510" s="57">
        <v>155764</v>
      </c>
      <c r="Q510" s="77">
        <v>0.4</v>
      </c>
      <c r="R510" s="57">
        <v>62306</v>
      </c>
      <c r="S510" s="57">
        <v>218070.27</v>
      </c>
      <c r="T510" s="106">
        <f>IF(A510="Upgrade",IF(OR(H510=4,H510=5),_xlfn.XLOOKUP(I510,'Renewal Rates'!$A$22:$A$27,'Renewal Rates'!$B$22:$B$27,'Renewal Rates'!$B$27,0),'Renewal Rates'!$F$7),IF(A510="Renewal",100%,0%))</f>
        <v>2.6599999999999999E-2</v>
      </c>
      <c r="U510" s="68">
        <f t="shared" si="7"/>
        <v>5800.6691819999996</v>
      </c>
      <c r="V510" s="68"/>
    </row>
    <row r="511" spans="1:22" x14ac:dyDescent="0.3">
      <c r="A511" s="41" t="s">
        <v>21</v>
      </c>
      <c r="B511" s="51">
        <v>5.008</v>
      </c>
      <c r="C511" s="58">
        <v>2000540221</v>
      </c>
      <c r="D511" s="86">
        <v>19.05</v>
      </c>
      <c r="E511" s="86"/>
      <c r="F511" s="52">
        <v>300</v>
      </c>
      <c r="G511" s="53">
        <v>750</v>
      </c>
      <c r="H511" s="52" t="s">
        <v>122</v>
      </c>
      <c r="I511" s="45" t="s">
        <v>122</v>
      </c>
      <c r="J511" s="41">
        <v>387</v>
      </c>
      <c r="K511" s="54" t="s">
        <v>23</v>
      </c>
      <c r="L511" s="54" t="s">
        <v>24</v>
      </c>
      <c r="M511" s="57">
        <v>114331</v>
      </c>
      <c r="N511" s="57">
        <v>6000</v>
      </c>
      <c r="O511" s="57">
        <v>38872</v>
      </c>
      <c r="P511" s="57">
        <v>153203</v>
      </c>
      <c r="Q511" s="77">
        <v>0.4</v>
      </c>
      <c r="R511" s="57">
        <v>61281</v>
      </c>
      <c r="S511" s="57">
        <v>214484.41</v>
      </c>
      <c r="T511" s="106">
        <f>IF(A511="Upgrade",IF(OR(H511=4,H511=5),_xlfn.XLOOKUP(I511,'Renewal Rates'!$A$22:$A$27,'Renewal Rates'!$B$22:$B$27,'Renewal Rates'!$B$27,0),'Renewal Rates'!$F$7),IF(A511="Renewal",100%,0%))</f>
        <v>2.6599999999999999E-2</v>
      </c>
      <c r="U511" s="68">
        <f t="shared" si="7"/>
        <v>5705.2853059999998</v>
      </c>
      <c r="V511" s="68"/>
    </row>
    <row r="512" spans="1:22" x14ac:dyDescent="0.3">
      <c r="A512" s="41" t="s">
        <v>21</v>
      </c>
      <c r="B512" s="51">
        <v>1.0209999999999999</v>
      </c>
      <c r="C512" s="58">
        <v>2000366392</v>
      </c>
      <c r="D512" s="86">
        <v>4.1100000000000003</v>
      </c>
      <c r="E512" s="86"/>
      <c r="F512" s="52">
        <v>525</v>
      </c>
      <c r="G512" s="53">
        <v>1050</v>
      </c>
      <c r="H512" s="52" t="s">
        <v>122</v>
      </c>
      <c r="I512" s="45" t="s">
        <v>122</v>
      </c>
      <c r="J512" s="41">
        <v>385</v>
      </c>
      <c r="K512" s="54" t="s">
        <v>23</v>
      </c>
      <c r="L512" s="54" t="s">
        <v>24</v>
      </c>
      <c r="M512" s="57">
        <v>74836</v>
      </c>
      <c r="N512" s="57">
        <v>18226</v>
      </c>
      <c r="O512" s="57">
        <v>25444</v>
      </c>
      <c r="P512" s="57">
        <v>100280</v>
      </c>
      <c r="Q512" s="77">
        <v>0.4</v>
      </c>
      <c r="R512" s="57">
        <v>40112</v>
      </c>
      <c r="S512" s="57">
        <v>140391.48000000001</v>
      </c>
      <c r="T512" s="106">
        <f>IF(A512="Upgrade",IF(OR(H512=4,H512=5),_xlfn.XLOOKUP(I512,'Renewal Rates'!$A$22:$A$27,'Renewal Rates'!$B$22:$B$27,'Renewal Rates'!$B$27,0),'Renewal Rates'!$F$7),IF(A512="Renewal",100%,0%))</f>
        <v>2.6599999999999999E-2</v>
      </c>
      <c r="U512" s="68">
        <f t="shared" si="7"/>
        <v>3734.413368</v>
      </c>
      <c r="V512" s="68"/>
    </row>
    <row r="513" spans="1:22" x14ac:dyDescent="0.3">
      <c r="A513" s="41" t="s">
        <v>21</v>
      </c>
      <c r="B513" s="51">
        <v>1.0129999999999999</v>
      </c>
      <c r="C513" s="58">
        <v>2000058627</v>
      </c>
      <c r="D513" s="86">
        <v>86.01</v>
      </c>
      <c r="E513" s="86"/>
      <c r="F513" s="52">
        <v>600</v>
      </c>
      <c r="G513" s="53">
        <v>1050</v>
      </c>
      <c r="H513" s="52">
        <v>4</v>
      </c>
      <c r="I513" s="45">
        <v>3</v>
      </c>
      <c r="J513" s="41">
        <v>385</v>
      </c>
      <c r="K513" s="54" t="s">
        <v>23</v>
      </c>
      <c r="L513" s="54" t="s">
        <v>24</v>
      </c>
      <c r="M513" s="57">
        <v>589963</v>
      </c>
      <c r="N513" s="57">
        <v>6860</v>
      </c>
      <c r="O513" s="57">
        <v>200587</v>
      </c>
      <c r="P513" s="57">
        <v>790550</v>
      </c>
      <c r="Q513" s="77">
        <v>0.4</v>
      </c>
      <c r="R513" s="57">
        <v>316220</v>
      </c>
      <c r="S513" s="57">
        <v>1106770.6399999999</v>
      </c>
      <c r="T513" s="106">
        <f>IF(A513="Upgrade",IF(OR(H513=4,H513=5),_xlfn.XLOOKUP(I513,'Renewal Rates'!$A$22:$A$27,'Renewal Rates'!$B$22:$B$27,'Renewal Rates'!$B$27,0),'Renewal Rates'!$F$7),IF(A513="Renewal",100%,0%))</f>
        <v>0.21</v>
      </c>
      <c r="U513" s="68">
        <f t="shared" si="7"/>
        <v>232421.83439999996</v>
      </c>
      <c r="V513" s="68"/>
    </row>
    <row r="514" spans="1:22" x14ac:dyDescent="0.3">
      <c r="A514" s="41" t="s">
        <v>21</v>
      </c>
      <c r="B514" s="51">
        <v>11.023999999999999</v>
      </c>
      <c r="C514" s="58">
        <v>2000617233</v>
      </c>
      <c r="D514" s="86">
        <v>85.1</v>
      </c>
      <c r="E514" s="86"/>
      <c r="F514" s="52">
        <v>675</v>
      </c>
      <c r="G514" s="53">
        <v>975</v>
      </c>
      <c r="H514" s="52" t="s">
        <v>122</v>
      </c>
      <c r="I514" s="45" t="s">
        <v>122</v>
      </c>
      <c r="J514" s="41">
        <v>385</v>
      </c>
      <c r="K514" s="54" t="s">
        <v>23</v>
      </c>
      <c r="L514" s="54" t="s">
        <v>24</v>
      </c>
      <c r="M514" s="57">
        <v>513143</v>
      </c>
      <c r="N514" s="57">
        <v>6030</v>
      </c>
      <c r="O514" s="57">
        <v>174469</v>
      </c>
      <c r="P514" s="57">
        <v>687611</v>
      </c>
      <c r="Q514" s="77">
        <v>0.4</v>
      </c>
      <c r="R514" s="57">
        <v>275045</v>
      </c>
      <c r="S514" s="57">
        <v>962656.06</v>
      </c>
      <c r="T514" s="106">
        <f>IF(A514="Upgrade",IF(OR(H514=4,H514=5),_xlfn.XLOOKUP(I514,'Renewal Rates'!$A$22:$A$27,'Renewal Rates'!$B$22:$B$27,'Renewal Rates'!$B$27,0),'Renewal Rates'!$F$7),IF(A514="Renewal",100%,0%))</f>
        <v>2.6599999999999999E-2</v>
      </c>
      <c r="U514" s="68">
        <f t="shared" si="7"/>
        <v>25606.651195999999</v>
      </c>
      <c r="V514" s="68"/>
    </row>
    <row r="515" spans="1:22" x14ac:dyDescent="0.3">
      <c r="A515" s="41" t="s">
        <v>21</v>
      </c>
      <c r="B515" s="51">
        <v>1.0169999999999999</v>
      </c>
      <c r="C515" s="58">
        <v>2000096338</v>
      </c>
      <c r="D515" s="86">
        <v>23.67</v>
      </c>
      <c r="E515" s="86"/>
      <c r="F515" s="52">
        <v>225</v>
      </c>
      <c r="G515" s="53">
        <v>750</v>
      </c>
      <c r="H515" s="52" t="s">
        <v>122</v>
      </c>
      <c r="I515" s="45" t="s">
        <v>122</v>
      </c>
      <c r="J515" s="41">
        <v>385</v>
      </c>
      <c r="K515" s="54" t="s">
        <v>23</v>
      </c>
      <c r="L515" s="54" t="s">
        <v>24</v>
      </c>
      <c r="M515" s="57">
        <v>123462</v>
      </c>
      <c r="N515" s="57">
        <v>5217</v>
      </c>
      <c r="O515" s="57">
        <v>48960</v>
      </c>
      <c r="P515" s="57">
        <v>192960</v>
      </c>
      <c r="Q515" s="77">
        <v>0.4</v>
      </c>
      <c r="R515" s="57">
        <v>77184</v>
      </c>
      <c r="S515" s="57">
        <v>270143.45952440001</v>
      </c>
      <c r="T515" s="106">
        <f>IF(A515="Upgrade",IF(OR(H515=4,H515=5),_xlfn.XLOOKUP(I515,'Renewal Rates'!$A$22:$A$27,'Renewal Rates'!$B$22:$B$27,'Renewal Rates'!$B$27,0),'Renewal Rates'!$F$7),IF(A515="Renewal",100%,0%))</f>
        <v>2.6599999999999999E-2</v>
      </c>
      <c r="U515" s="68">
        <f t="shared" si="7"/>
        <v>7185.8160233490398</v>
      </c>
      <c r="V515" s="68"/>
    </row>
    <row r="516" spans="1:22" x14ac:dyDescent="0.3">
      <c r="A516" s="41" t="s">
        <v>21</v>
      </c>
      <c r="B516" s="51">
        <v>18.009</v>
      </c>
      <c r="C516" s="58">
        <v>2000327450</v>
      </c>
      <c r="D516" s="86">
        <v>32.1</v>
      </c>
      <c r="E516" s="86"/>
      <c r="F516" s="52">
        <v>225</v>
      </c>
      <c r="G516" s="53">
        <v>600</v>
      </c>
      <c r="H516" s="52" t="s">
        <v>122</v>
      </c>
      <c r="I516" s="45" t="s">
        <v>122</v>
      </c>
      <c r="J516" s="41">
        <v>377</v>
      </c>
      <c r="K516" s="54" t="s">
        <v>23</v>
      </c>
      <c r="L516" s="54" t="s">
        <v>24</v>
      </c>
      <c r="M516" s="57">
        <v>115020</v>
      </c>
      <c r="N516" s="57">
        <v>3639</v>
      </c>
      <c r="O516" s="57">
        <v>39107</v>
      </c>
      <c r="P516" s="57">
        <v>154127</v>
      </c>
      <c r="Q516" s="77">
        <v>0.4</v>
      </c>
      <c r="R516" s="57">
        <v>61651</v>
      </c>
      <c r="S516" s="57">
        <v>215778.33</v>
      </c>
      <c r="T516" s="106">
        <f>IF(A516="Upgrade",IF(OR(H516=4,H516=5),_xlfn.XLOOKUP(I516,'Renewal Rates'!$A$22:$A$27,'Renewal Rates'!$B$22:$B$27,'Renewal Rates'!$B$27,0),'Renewal Rates'!$F$7),IF(A516="Renewal",100%,0%))</f>
        <v>2.6599999999999999E-2</v>
      </c>
      <c r="U516" s="68">
        <f t="shared" ref="U516:U551" si="8">S516*T516</f>
        <v>5739.7035779999997</v>
      </c>
      <c r="V516" s="68"/>
    </row>
    <row r="517" spans="1:22" x14ac:dyDescent="0.3">
      <c r="A517" s="41" t="s">
        <v>21</v>
      </c>
      <c r="B517" s="51">
        <v>6.0090000000000003</v>
      </c>
      <c r="C517" s="58">
        <v>2000941228</v>
      </c>
      <c r="D517" s="86">
        <v>14.87</v>
      </c>
      <c r="E517" s="86"/>
      <c r="F517" s="52">
        <v>375</v>
      </c>
      <c r="G517" s="53">
        <v>825</v>
      </c>
      <c r="H517" s="52" t="s">
        <v>122</v>
      </c>
      <c r="I517" s="45" t="s">
        <v>122</v>
      </c>
      <c r="J517" s="41">
        <v>387</v>
      </c>
      <c r="K517" s="54" t="s">
        <v>23</v>
      </c>
      <c r="L517" s="54" t="s">
        <v>24</v>
      </c>
      <c r="M517" s="57">
        <v>91183</v>
      </c>
      <c r="N517" s="57">
        <v>6131</v>
      </c>
      <c r="O517" s="57">
        <v>31002</v>
      </c>
      <c r="P517" s="57">
        <v>122185</v>
      </c>
      <c r="Q517" s="77">
        <v>0.4</v>
      </c>
      <c r="R517" s="57">
        <v>48874</v>
      </c>
      <c r="S517" s="57">
        <v>171059.22</v>
      </c>
      <c r="T517" s="106">
        <f>IF(A517="Upgrade",IF(OR(H517=4,H517=5),_xlfn.XLOOKUP(I517,'Renewal Rates'!$A$22:$A$27,'Renewal Rates'!$B$22:$B$27,'Renewal Rates'!$B$27,0),'Renewal Rates'!$F$7),IF(A517="Renewal",100%,0%))</f>
        <v>2.6599999999999999E-2</v>
      </c>
      <c r="U517" s="68">
        <f t="shared" si="8"/>
        <v>4550.175252</v>
      </c>
      <c r="V517" s="68"/>
    </row>
    <row r="518" spans="1:22" x14ac:dyDescent="0.3">
      <c r="A518" s="41" t="s">
        <v>21</v>
      </c>
      <c r="B518" s="51">
        <v>6.0030000000000001</v>
      </c>
      <c r="C518" s="58">
        <v>2000671521</v>
      </c>
      <c r="D518" s="86">
        <v>55.22</v>
      </c>
      <c r="E518" s="86"/>
      <c r="F518" s="52">
        <v>225</v>
      </c>
      <c r="G518" s="53">
        <v>975</v>
      </c>
      <c r="H518" s="52" t="s">
        <v>122</v>
      </c>
      <c r="I518" s="45" t="s">
        <v>122</v>
      </c>
      <c r="J518" s="41">
        <v>387</v>
      </c>
      <c r="K518" s="54" t="s">
        <v>23</v>
      </c>
      <c r="L518" s="54" t="s">
        <v>24</v>
      </c>
      <c r="M518" s="57">
        <v>366963</v>
      </c>
      <c r="N518" s="57">
        <v>6645</v>
      </c>
      <c r="O518" s="57">
        <v>124768</v>
      </c>
      <c r="P518" s="57">
        <v>491731</v>
      </c>
      <c r="Q518" s="77">
        <v>0.4</v>
      </c>
      <c r="R518" s="57">
        <v>196692</v>
      </c>
      <c r="S518" s="57">
        <v>688423.39</v>
      </c>
      <c r="T518" s="106">
        <f>IF(A518="Upgrade",IF(OR(H518=4,H518=5),_xlfn.XLOOKUP(I518,'Renewal Rates'!$A$22:$A$27,'Renewal Rates'!$B$22:$B$27,'Renewal Rates'!$B$27,0),'Renewal Rates'!$F$7),IF(A518="Renewal",100%,0%))</f>
        <v>2.6599999999999999E-2</v>
      </c>
      <c r="U518" s="68">
        <f t="shared" si="8"/>
        <v>18312.062173999999</v>
      </c>
      <c r="V518" s="68"/>
    </row>
    <row r="519" spans="1:22" x14ac:dyDescent="0.3">
      <c r="A519" s="41" t="s">
        <v>21</v>
      </c>
      <c r="B519" s="51">
        <v>3.0529999999999999</v>
      </c>
      <c r="C519" s="58">
        <v>2000070060</v>
      </c>
      <c r="D519" s="86">
        <v>47.85</v>
      </c>
      <c r="E519" s="86"/>
      <c r="F519" s="52">
        <v>300</v>
      </c>
      <c r="G519" s="53">
        <v>750</v>
      </c>
      <c r="H519" s="52" t="s">
        <v>122</v>
      </c>
      <c r="I519" s="45" t="s">
        <v>122</v>
      </c>
      <c r="J519" s="41">
        <v>386</v>
      </c>
      <c r="K519" s="54" t="s">
        <v>23</v>
      </c>
      <c r="L519" s="54" t="s">
        <v>24</v>
      </c>
      <c r="M519" s="57">
        <v>211798</v>
      </c>
      <c r="N519" s="57">
        <v>4426</v>
      </c>
      <c r="O519" s="57">
        <v>72011</v>
      </c>
      <c r="P519" s="57">
        <v>283810</v>
      </c>
      <c r="Q519" s="77">
        <v>0.4</v>
      </c>
      <c r="R519" s="57">
        <v>113524</v>
      </c>
      <c r="S519" s="57">
        <v>397333.53</v>
      </c>
      <c r="T519" s="106">
        <f>IF(A519="Upgrade",IF(OR(H519=4,H519=5),_xlfn.XLOOKUP(I519,'Renewal Rates'!$A$22:$A$27,'Renewal Rates'!$B$22:$B$27,'Renewal Rates'!$B$27,0),'Renewal Rates'!$F$7),IF(A519="Renewal",100%,0%))</f>
        <v>2.6599999999999999E-2</v>
      </c>
      <c r="U519" s="68">
        <f t="shared" si="8"/>
        <v>10569.071898</v>
      </c>
      <c r="V519" s="68"/>
    </row>
    <row r="520" spans="1:22" x14ac:dyDescent="0.3">
      <c r="A520" s="41" t="s">
        <v>21</v>
      </c>
      <c r="B520" s="51">
        <v>3.0529999999999999</v>
      </c>
      <c r="C520" s="58">
        <v>3000191950</v>
      </c>
      <c r="D520" s="86">
        <v>10.917108000000001</v>
      </c>
      <c r="E520" s="86"/>
      <c r="F520" s="52">
        <v>225</v>
      </c>
      <c r="G520" s="53">
        <v>750</v>
      </c>
      <c r="H520" s="52" t="s">
        <v>122</v>
      </c>
      <c r="I520" s="45" t="s">
        <v>122</v>
      </c>
      <c r="J520" s="41">
        <v>386</v>
      </c>
      <c r="K520" s="54" t="s">
        <v>23</v>
      </c>
      <c r="L520" s="54" t="s">
        <v>24</v>
      </c>
      <c r="M520" s="57">
        <v>83828</v>
      </c>
      <c r="N520" s="57">
        <v>7679</v>
      </c>
      <c r="O520" s="57">
        <v>28502</v>
      </c>
      <c r="P520" s="57">
        <v>112330</v>
      </c>
      <c r="Q520" s="77">
        <v>0.4</v>
      </c>
      <c r="R520" s="57">
        <v>44932</v>
      </c>
      <c r="S520" s="57">
        <v>157262.09</v>
      </c>
      <c r="T520" s="106">
        <f>IF(A520="Upgrade",IF(OR(H520=4,H520=5),_xlfn.XLOOKUP(I520,'Renewal Rates'!$A$22:$A$27,'Renewal Rates'!$B$22:$B$27,'Renewal Rates'!$B$27,0),'Renewal Rates'!$F$7),IF(A520="Renewal",100%,0%))</f>
        <v>2.6599999999999999E-2</v>
      </c>
      <c r="U520" s="68">
        <f t="shared" si="8"/>
        <v>4183.1715939999995</v>
      </c>
      <c r="V520" s="68"/>
    </row>
    <row r="521" spans="1:22" x14ac:dyDescent="0.3">
      <c r="A521" s="41" t="s">
        <v>21</v>
      </c>
      <c r="B521" s="51">
        <v>3.0430000000000001</v>
      </c>
      <c r="C521" s="58">
        <v>2000869637</v>
      </c>
      <c r="D521" s="86">
        <v>5.26</v>
      </c>
      <c r="E521" s="86"/>
      <c r="F521" s="52">
        <v>450</v>
      </c>
      <c r="G521" s="53">
        <v>675</v>
      </c>
      <c r="H521" s="52" t="s">
        <v>122</v>
      </c>
      <c r="I521" s="45" t="s">
        <v>122</v>
      </c>
      <c r="J521" s="41">
        <v>387</v>
      </c>
      <c r="K521" s="54" t="s">
        <v>23</v>
      </c>
      <c r="L521" s="54" t="s">
        <v>24</v>
      </c>
      <c r="M521" s="57">
        <v>56306</v>
      </c>
      <c r="N521" s="57">
        <v>10705</v>
      </c>
      <c r="O521" s="57">
        <v>19144</v>
      </c>
      <c r="P521" s="57">
        <v>75450</v>
      </c>
      <c r="Q521" s="77">
        <v>0.4</v>
      </c>
      <c r="R521" s="57">
        <v>30180</v>
      </c>
      <c r="S521" s="57">
        <v>105630.5</v>
      </c>
      <c r="T521" s="106">
        <f>IF(A521="Upgrade",IF(OR(H521=4,H521=5),_xlfn.XLOOKUP(I521,'Renewal Rates'!$A$22:$A$27,'Renewal Rates'!$B$22:$B$27,'Renewal Rates'!$B$27,0),'Renewal Rates'!$F$7),IF(A521="Renewal",100%,0%))</f>
        <v>2.6599999999999999E-2</v>
      </c>
      <c r="U521" s="68">
        <f t="shared" si="8"/>
        <v>2809.7712999999999</v>
      </c>
      <c r="V521" s="68"/>
    </row>
    <row r="522" spans="1:22" x14ac:dyDescent="0.3">
      <c r="A522" s="41" t="s">
        <v>21</v>
      </c>
      <c r="B522" s="51">
        <v>12.013999999999999</v>
      </c>
      <c r="C522" s="58">
        <v>2000565876</v>
      </c>
      <c r="D522" s="86">
        <v>51.04</v>
      </c>
      <c r="E522" s="86"/>
      <c r="F522" s="52">
        <v>300</v>
      </c>
      <c r="G522" s="53">
        <v>825</v>
      </c>
      <c r="H522" s="52">
        <v>4</v>
      </c>
      <c r="I522" s="45">
        <v>2</v>
      </c>
      <c r="J522" s="41">
        <v>377</v>
      </c>
      <c r="K522" s="54" t="s">
        <v>23</v>
      </c>
      <c r="L522" s="54" t="s">
        <v>24</v>
      </c>
      <c r="M522" s="57">
        <v>248075</v>
      </c>
      <c r="N522" s="57">
        <v>4861</v>
      </c>
      <c r="O522" s="57">
        <v>84346</v>
      </c>
      <c r="P522" s="57">
        <v>332421</v>
      </c>
      <c r="Q522" s="77">
        <v>0.4</v>
      </c>
      <c r="R522" s="57">
        <v>132968</v>
      </c>
      <c r="S522" s="57">
        <v>465389.4</v>
      </c>
      <c r="T522" s="106">
        <f>IF(A522="Upgrade",IF(OR(H522=4,H522=5),_xlfn.XLOOKUP(I522,'Renewal Rates'!$A$22:$A$27,'Renewal Rates'!$B$22:$B$27,'Renewal Rates'!$B$27,0),'Renewal Rates'!$F$7),IF(A522="Renewal",100%,0%))</f>
        <v>0</v>
      </c>
      <c r="U522" s="68">
        <f t="shared" si="8"/>
        <v>0</v>
      </c>
      <c r="V522" s="68"/>
    </row>
    <row r="523" spans="1:22" x14ac:dyDescent="0.3">
      <c r="A523" s="41" t="s">
        <v>21</v>
      </c>
      <c r="B523" s="51">
        <v>5.0090000000000003</v>
      </c>
      <c r="C523" s="58">
        <v>2000861926</v>
      </c>
      <c r="D523" s="86">
        <v>38.69</v>
      </c>
      <c r="E523" s="86"/>
      <c r="F523" s="52">
        <v>300</v>
      </c>
      <c r="G523" s="53">
        <v>1125</v>
      </c>
      <c r="H523" s="52" t="s">
        <v>122</v>
      </c>
      <c r="I523" s="45" t="s">
        <v>122</v>
      </c>
      <c r="J523" s="41">
        <v>387</v>
      </c>
      <c r="K523" s="54" t="s">
        <v>23</v>
      </c>
      <c r="L523" s="54" t="s">
        <v>24</v>
      </c>
      <c r="M523" s="57">
        <v>286942</v>
      </c>
      <c r="N523" s="57">
        <v>7417</v>
      </c>
      <c r="O523" s="57">
        <v>97560</v>
      </c>
      <c r="P523" s="57">
        <v>384503</v>
      </c>
      <c r="Q523" s="77">
        <v>0.4</v>
      </c>
      <c r="R523" s="57">
        <v>153801</v>
      </c>
      <c r="S523" s="57">
        <v>538303.59</v>
      </c>
      <c r="T523" s="106">
        <f>IF(A523="Upgrade",IF(OR(H523=4,H523=5),_xlfn.XLOOKUP(I523,'Renewal Rates'!$A$22:$A$27,'Renewal Rates'!$B$22:$B$27,'Renewal Rates'!$B$27,0),'Renewal Rates'!$F$7),IF(A523="Renewal",100%,0%))</f>
        <v>2.6599999999999999E-2</v>
      </c>
      <c r="U523" s="68">
        <f t="shared" si="8"/>
        <v>14318.875493999998</v>
      </c>
      <c r="V523" s="68"/>
    </row>
    <row r="524" spans="1:22" x14ac:dyDescent="0.3">
      <c r="A524" s="41" t="s">
        <v>21</v>
      </c>
      <c r="B524" s="51">
        <v>3.0379999999999998</v>
      </c>
      <c r="C524" s="58">
        <v>2000105747</v>
      </c>
      <c r="D524" s="86">
        <v>65.61</v>
      </c>
      <c r="E524" s="86"/>
      <c r="F524" s="52">
        <v>300</v>
      </c>
      <c r="G524" s="53">
        <v>975</v>
      </c>
      <c r="H524" s="52" t="s">
        <v>122</v>
      </c>
      <c r="I524" s="45" t="s">
        <v>122</v>
      </c>
      <c r="J524" s="41">
        <v>386</v>
      </c>
      <c r="K524" s="54" t="s">
        <v>23</v>
      </c>
      <c r="L524" s="54" t="s">
        <v>24</v>
      </c>
      <c r="M524" s="57">
        <v>408911</v>
      </c>
      <c r="N524" s="57">
        <v>6233</v>
      </c>
      <c r="O524" s="57">
        <v>139030</v>
      </c>
      <c r="P524" s="57">
        <v>547941</v>
      </c>
      <c r="Q524" s="77">
        <v>0.4</v>
      </c>
      <c r="R524" s="57">
        <v>219176</v>
      </c>
      <c r="S524" s="57">
        <v>767116.81</v>
      </c>
      <c r="T524" s="106">
        <f>IF(A524="Upgrade",IF(OR(H524=4,H524=5),_xlfn.XLOOKUP(I524,'Renewal Rates'!$A$22:$A$27,'Renewal Rates'!$B$22:$B$27,'Renewal Rates'!$B$27,0),'Renewal Rates'!$F$7),IF(A524="Renewal",100%,0%))</f>
        <v>2.6599999999999999E-2</v>
      </c>
      <c r="U524" s="68">
        <f t="shared" si="8"/>
        <v>20405.307145999999</v>
      </c>
      <c r="V524" s="68"/>
    </row>
    <row r="525" spans="1:22" x14ac:dyDescent="0.3">
      <c r="A525" s="41" t="s">
        <v>21</v>
      </c>
      <c r="B525" s="51">
        <v>12.018000000000001</v>
      </c>
      <c r="C525" s="58">
        <v>2000488560</v>
      </c>
      <c r="D525" s="86">
        <v>13.67</v>
      </c>
      <c r="E525" s="86"/>
      <c r="F525" s="52">
        <v>450</v>
      </c>
      <c r="G525" s="53">
        <v>600</v>
      </c>
      <c r="H525" s="52" t="s">
        <v>122</v>
      </c>
      <c r="I525" s="45" t="s">
        <v>122</v>
      </c>
      <c r="J525" s="41">
        <v>377</v>
      </c>
      <c r="K525" s="54" t="s">
        <v>23</v>
      </c>
      <c r="L525" s="54" t="s">
        <v>24</v>
      </c>
      <c r="M525" s="57">
        <v>77031</v>
      </c>
      <c r="N525" s="57">
        <v>5636</v>
      </c>
      <c r="O525" s="57">
        <v>26191</v>
      </c>
      <c r="P525" s="57">
        <v>103222</v>
      </c>
      <c r="Q525" s="77">
        <v>0.4</v>
      </c>
      <c r="R525" s="57">
        <v>41289</v>
      </c>
      <c r="S525" s="57">
        <v>144510.28</v>
      </c>
      <c r="T525" s="106">
        <f>IF(A525="Upgrade",IF(OR(H525=4,H525=5),_xlfn.XLOOKUP(I525,'Renewal Rates'!$A$22:$A$27,'Renewal Rates'!$B$22:$B$27,'Renewal Rates'!$B$27,0),'Renewal Rates'!$F$7),IF(A525="Renewal",100%,0%))</f>
        <v>2.6599999999999999E-2</v>
      </c>
      <c r="U525" s="68">
        <f t="shared" si="8"/>
        <v>3843.9734479999997</v>
      </c>
      <c r="V525" s="68"/>
    </row>
    <row r="526" spans="1:22" x14ac:dyDescent="0.3">
      <c r="A526" s="41" t="s">
        <v>21</v>
      </c>
      <c r="B526" s="51">
        <v>1.0169999999999999</v>
      </c>
      <c r="C526" s="58">
        <v>3000162117</v>
      </c>
      <c r="D526" s="86">
        <v>35.344168000000003</v>
      </c>
      <c r="E526" s="86"/>
      <c r="F526" s="52">
        <v>225</v>
      </c>
      <c r="G526" s="53">
        <v>750</v>
      </c>
      <c r="H526" s="52" t="s">
        <v>122</v>
      </c>
      <c r="I526" s="45" t="s">
        <v>122</v>
      </c>
      <c r="J526" s="41">
        <v>385</v>
      </c>
      <c r="K526" s="54" t="s">
        <v>23</v>
      </c>
      <c r="L526" s="54" t="s">
        <v>24</v>
      </c>
      <c r="M526" s="57">
        <v>138732</v>
      </c>
      <c r="N526" s="57">
        <v>3925</v>
      </c>
      <c r="O526" s="57">
        <v>53012</v>
      </c>
      <c r="P526" s="57">
        <v>208929</v>
      </c>
      <c r="Q526" s="77">
        <v>0.4</v>
      </c>
      <c r="R526" s="57">
        <v>83572</v>
      </c>
      <c r="S526" s="57">
        <v>292500.86174120003</v>
      </c>
      <c r="T526" s="106">
        <f>IF(A526="Upgrade",IF(OR(H526=4,H526=5),_xlfn.XLOOKUP(I526,'Renewal Rates'!$A$22:$A$27,'Renewal Rates'!$B$22:$B$27,'Renewal Rates'!$B$27,0),'Renewal Rates'!$F$7),IF(A526="Renewal",100%,0%))</f>
        <v>2.6599999999999999E-2</v>
      </c>
      <c r="U526" s="68">
        <f t="shared" si="8"/>
        <v>7780.5229223159204</v>
      </c>
      <c r="V526" s="68"/>
    </row>
    <row r="527" spans="1:22" x14ac:dyDescent="0.3">
      <c r="A527" s="41" t="s">
        <v>21</v>
      </c>
      <c r="B527" s="51">
        <v>18.004000000000001</v>
      </c>
      <c r="C527" s="58">
        <v>2000572710</v>
      </c>
      <c r="D527" s="86">
        <v>15.79</v>
      </c>
      <c r="E527" s="86"/>
      <c r="F527" s="52">
        <v>225</v>
      </c>
      <c r="G527" s="53">
        <v>750</v>
      </c>
      <c r="H527" s="52" t="s">
        <v>122</v>
      </c>
      <c r="I527" s="45" t="s">
        <v>122</v>
      </c>
      <c r="J527" s="41">
        <v>377</v>
      </c>
      <c r="K527" s="54" t="s">
        <v>23</v>
      </c>
      <c r="L527" s="54" t="s">
        <v>24</v>
      </c>
      <c r="M527" s="57">
        <v>91060</v>
      </c>
      <c r="N527" s="57">
        <v>5609</v>
      </c>
      <c r="O527" s="57">
        <v>30960</v>
      </c>
      <c r="P527" s="57">
        <v>122020</v>
      </c>
      <c r="Q527" s="77">
        <v>0.4</v>
      </c>
      <c r="R527" s="57">
        <v>48808</v>
      </c>
      <c r="S527" s="57">
        <v>170828.59</v>
      </c>
      <c r="T527" s="106">
        <f>IF(A527="Upgrade",IF(OR(H527=4,H527=5),_xlfn.XLOOKUP(I527,'Renewal Rates'!$A$22:$A$27,'Renewal Rates'!$B$22:$B$27,'Renewal Rates'!$B$27,0),'Renewal Rates'!$F$7),IF(A527="Renewal",100%,0%))</f>
        <v>2.6599999999999999E-2</v>
      </c>
      <c r="U527" s="68">
        <f t="shared" si="8"/>
        <v>4544.0404939999999</v>
      </c>
      <c r="V527" s="68"/>
    </row>
    <row r="528" spans="1:22" x14ac:dyDescent="0.3">
      <c r="A528" s="41" t="s">
        <v>21</v>
      </c>
      <c r="B528" s="51">
        <v>3.05</v>
      </c>
      <c r="C528" s="58">
        <v>2000095718</v>
      </c>
      <c r="D528" s="86">
        <v>17.28</v>
      </c>
      <c r="E528" s="86"/>
      <c r="F528" s="52">
        <v>225</v>
      </c>
      <c r="G528" s="53">
        <v>975</v>
      </c>
      <c r="H528" s="52" t="s">
        <v>122</v>
      </c>
      <c r="I528" s="45" t="s">
        <v>122</v>
      </c>
      <c r="J528" s="41">
        <v>386</v>
      </c>
      <c r="K528" s="54" t="s">
        <v>23</v>
      </c>
      <c r="L528" s="54" t="s">
        <v>24</v>
      </c>
      <c r="M528" s="57">
        <v>144426</v>
      </c>
      <c r="N528" s="57">
        <v>8360</v>
      </c>
      <c r="O528" s="57">
        <v>49105</v>
      </c>
      <c r="P528" s="57">
        <v>193531</v>
      </c>
      <c r="Q528" s="77">
        <v>0.4</v>
      </c>
      <c r="R528" s="57">
        <v>77412</v>
      </c>
      <c r="S528" s="57">
        <v>270942.84000000003</v>
      </c>
      <c r="T528" s="106">
        <f>IF(A528="Upgrade",IF(OR(H528=4,H528=5),_xlfn.XLOOKUP(I528,'Renewal Rates'!$A$22:$A$27,'Renewal Rates'!$B$22:$B$27,'Renewal Rates'!$B$27,0),'Renewal Rates'!$F$7),IF(A528="Renewal",100%,0%))</f>
        <v>2.6599999999999999E-2</v>
      </c>
      <c r="U528" s="68">
        <f t="shared" si="8"/>
        <v>7207.0795440000002</v>
      </c>
      <c r="V528" s="68"/>
    </row>
    <row r="529" spans="1:22" x14ac:dyDescent="0.3">
      <c r="A529" s="41" t="s">
        <v>21</v>
      </c>
      <c r="B529" s="51">
        <v>11.021000000000001</v>
      </c>
      <c r="C529" s="58">
        <v>2000870642</v>
      </c>
      <c r="D529" s="86">
        <v>90.12</v>
      </c>
      <c r="E529" s="86"/>
      <c r="F529" s="52">
        <v>225</v>
      </c>
      <c r="G529" s="53">
        <v>600</v>
      </c>
      <c r="H529" s="52" t="s">
        <v>122</v>
      </c>
      <c r="I529" s="45" t="s">
        <v>122</v>
      </c>
      <c r="J529" s="41">
        <v>377</v>
      </c>
      <c r="K529" s="54" t="s">
        <v>23</v>
      </c>
      <c r="L529" s="54" t="s">
        <v>24</v>
      </c>
      <c r="M529" s="57">
        <v>291132</v>
      </c>
      <c r="N529" s="57">
        <v>3230</v>
      </c>
      <c r="O529" s="57">
        <v>98985</v>
      </c>
      <c r="P529" s="57">
        <v>390117</v>
      </c>
      <c r="Q529" s="77">
        <v>0.4</v>
      </c>
      <c r="R529" s="57">
        <v>156047</v>
      </c>
      <c r="S529" s="57">
        <v>546163.53</v>
      </c>
      <c r="T529" s="106">
        <f>IF(A529="Upgrade",IF(OR(H529=4,H529=5),_xlfn.XLOOKUP(I529,'Renewal Rates'!$A$22:$A$27,'Renewal Rates'!$B$22:$B$27,'Renewal Rates'!$B$27,0),'Renewal Rates'!$F$7),IF(A529="Renewal",100%,0%))</f>
        <v>2.6599999999999999E-2</v>
      </c>
      <c r="U529" s="68">
        <f t="shared" si="8"/>
        <v>14527.949898000001</v>
      </c>
      <c r="V529" s="68"/>
    </row>
    <row r="530" spans="1:22" x14ac:dyDescent="0.3">
      <c r="A530" s="41" t="s">
        <v>21</v>
      </c>
      <c r="B530" s="51">
        <v>5.008</v>
      </c>
      <c r="C530" s="58">
        <v>2000085776</v>
      </c>
      <c r="D530" s="86">
        <v>6.32</v>
      </c>
      <c r="E530" s="86"/>
      <c r="F530" s="52">
        <v>300</v>
      </c>
      <c r="G530" s="53">
        <v>750</v>
      </c>
      <c r="H530" s="52">
        <v>5</v>
      </c>
      <c r="I530" s="45"/>
      <c r="J530" s="41">
        <v>387</v>
      </c>
      <c r="K530" s="54" t="s">
        <v>23</v>
      </c>
      <c r="L530" s="54" t="s">
        <v>24</v>
      </c>
      <c r="M530" s="57">
        <v>58142</v>
      </c>
      <c r="N530" s="57">
        <v>9198</v>
      </c>
      <c r="O530" s="57">
        <v>19768</v>
      </c>
      <c r="P530" s="57">
        <v>77910</v>
      </c>
      <c r="Q530" s="77">
        <v>0.4</v>
      </c>
      <c r="R530" s="57">
        <v>31164</v>
      </c>
      <c r="S530" s="57">
        <v>109073.69</v>
      </c>
      <c r="T530" s="106">
        <f>IF(A530="Upgrade",IF(OR(H530=4,H530=5),_xlfn.XLOOKUP(I530,'Renewal Rates'!$A$22:$A$27,'Renewal Rates'!$B$22:$B$27,'Renewal Rates'!$B$27,0),'Renewal Rates'!$F$7),IF(A530="Renewal",100%,0%))</f>
        <v>0.116578</v>
      </c>
      <c r="U530" s="68">
        <f t="shared" si="8"/>
        <v>12715.59263282</v>
      </c>
      <c r="V530" s="68"/>
    </row>
    <row r="531" spans="1:22" x14ac:dyDescent="0.3">
      <c r="A531" s="41" t="s">
        <v>21</v>
      </c>
      <c r="B531" s="51">
        <v>1.018</v>
      </c>
      <c r="C531" s="58">
        <v>3000056031</v>
      </c>
      <c r="D531" s="86">
        <v>28.42</v>
      </c>
      <c r="E531" s="86"/>
      <c r="F531" s="52">
        <v>300</v>
      </c>
      <c r="G531" s="53">
        <v>600</v>
      </c>
      <c r="H531" s="52" t="s">
        <v>122</v>
      </c>
      <c r="I531" s="45" t="s">
        <v>122</v>
      </c>
      <c r="J531" s="41">
        <v>385</v>
      </c>
      <c r="K531" s="54" t="s">
        <v>23</v>
      </c>
      <c r="L531" s="54" t="s">
        <v>24</v>
      </c>
      <c r="M531" s="57">
        <v>111724</v>
      </c>
      <c r="N531" s="57">
        <v>3932</v>
      </c>
      <c r="O531" s="57">
        <v>37986</v>
      </c>
      <c r="P531" s="57">
        <v>149710</v>
      </c>
      <c r="Q531" s="77">
        <v>0.4</v>
      </c>
      <c r="R531" s="57">
        <v>59884</v>
      </c>
      <c r="S531" s="57">
        <v>209593.68</v>
      </c>
      <c r="T531" s="106">
        <f>IF(A531="Upgrade",IF(OR(H531=4,H531=5),_xlfn.XLOOKUP(I531,'Renewal Rates'!$A$22:$A$27,'Renewal Rates'!$B$22:$B$27,'Renewal Rates'!$B$27,0),'Renewal Rates'!$F$7),IF(A531="Renewal",100%,0%))</f>
        <v>2.6599999999999999E-2</v>
      </c>
      <c r="U531" s="68">
        <f t="shared" si="8"/>
        <v>5575.1918879999994</v>
      </c>
      <c r="V531" s="68"/>
    </row>
    <row r="532" spans="1:22" x14ac:dyDescent="0.3">
      <c r="A532" s="41" t="s">
        <v>21</v>
      </c>
      <c r="B532" s="51">
        <v>18.004999999999999</v>
      </c>
      <c r="C532" s="58">
        <v>2000268885</v>
      </c>
      <c r="D532" s="86">
        <v>61.06</v>
      </c>
      <c r="E532" s="86"/>
      <c r="F532" s="52">
        <v>375</v>
      </c>
      <c r="G532" s="53">
        <v>825</v>
      </c>
      <c r="H532" s="52">
        <v>4</v>
      </c>
      <c r="I532" s="45">
        <v>5</v>
      </c>
      <c r="J532" s="41">
        <v>377</v>
      </c>
      <c r="K532" s="54" t="s">
        <v>23</v>
      </c>
      <c r="L532" s="54" t="s">
        <v>24</v>
      </c>
      <c r="M532" s="57">
        <v>325621</v>
      </c>
      <c r="N532" s="57">
        <v>5333</v>
      </c>
      <c r="O532" s="57">
        <v>110711</v>
      </c>
      <c r="P532" s="57">
        <v>436331</v>
      </c>
      <c r="Q532" s="77">
        <v>0.4</v>
      </c>
      <c r="R532" s="57">
        <v>174533</v>
      </c>
      <c r="S532" s="57">
        <v>610864.06999999995</v>
      </c>
      <c r="T532" s="106">
        <f>IF(A532="Upgrade",IF(OR(H532=4,H532=5),_xlfn.XLOOKUP(I532,'Renewal Rates'!$A$22:$A$27,'Renewal Rates'!$B$22:$B$27,'Renewal Rates'!$B$27,0),'Renewal Rates'!$F$7),IF(A532="Renewal",100%,0%))</f>
        <v>0.7</v>
      </c>
      <c r="U532" s="68">
        <f t="shared" si="8"/>
        <v>427604.84899999993</v>
      </c>
      <c r="V532" s="68"/>
    </row>
    <row r="533" spans="1:22" x14ac:dyDescent="0.3">
      <c r="A533" s="41" t="s">
        <v>21</v>
      </c>
      <c r="B533" s="51">
        <v>3.0489999999999999</v>
      </c>
      <c r="C533" s="58">
        <v>2000326967</v>
      </c>
      <c r="D533" s="86">
        <v>87.24</v>
      </c>
      <c r="E533" s="86"/>
      <c r="F533" s="52">
        <v>300</v>
      </c>
      <c r="G533" s="53">
        <v>1125</v>
      </c>
      <c r="H533" s="52">
        <v>4</v>
      </c>
      <c r="I533" s="45">
        <v>5</v>
      </c>
      <c r="J533" s="41">
        <v>386</v>
      </c>
      <c r="K533" s="54" t="s">
        <v>23</v>
      </c>
      <c r="L533" s="54" t="s">
        <v>24</v>
      </c>
      <c r="M533" s="57">
        <v>589897</v>
      </c>
      <c r="N533" s="57">
        <v>6762</v>
      </c>
      <c r="O533" s="57">
        <v>200565</v>
      </c>
      <c r="P533" s="57">
        <v>790462</v>
      </c>
      <c r="Q533" s="77">
        <v>0.4</v>
      </c>
      <c r="R533" s="57">
        <v>316185</v>
      </c>
      <c r="S533" s="57">
        <v>1106646.1000000001</v>
      </c>
      <c r="T533" s="106">
        <f>IF(A533="Upgrade",IF(OR(H533=4,H533=5),_xlfn.XLOOKUP(I533,'Renewal Rates'!$A$22:$A$27,'Renewal Rates'!$B$22:$B$27,'Renewal Rates'!$B$27,0),'Renewal Rates'!$F$7),IF(A533="Renewal",100%,0%))</f>
        <v>0.7</v>
      </c>
      <c r="U533" s="68">
        <f t="shared" si="8"/>
        <v>774652.27</v>
      </c>
      <c r="V533" s="68"/>
    </row>
    <row r="534" spans="1:22" x14ac:dyDescent="0.3">
      <c r="A534" s="41" t="s">
        <v>21</v>
      </c>
      <c r="B534" s="51">
        <v>4.0049999999999999</v>
      </c>
      <c r="C534" s="58">
        <v>2000322201</v>
      </c>
      <c r="D534" s="86">
        <v>17.017158999999999</v>
      </c>
      <c r="E534" s="86"/>
      <c r="F534" s="52">
        <v>750</v>
      </c>
      <c r="G534" s="53">
        <v>975</v>
      </c>
      <c r="H534" s="52">
        <v>4</v>
      </c>
      <c r="I534" s="45">
        <v>1</v>
      </c>
      <c r="J534" s="41">
        <v>386</v>
      </c>
      <c r="K534" s="54" t="s">
        <v>23</v>
      </c>
      <c r="L534" s="54" t="s">
        <v>24</v>
      </c>
      <c r="M534" s="57">
        <v>143944</v>
      </c>
      <c r="N534" s="57">
        <v>8459</v>
      </c>
      <c r="O534" s="57">
        <v>48941</v>
      </c>
      <c r="P534" s="57">
        <v>192885</v>
      </c>
      <c r="Q534" s="77">
        <v>0.4</v>
      </c>
      <c r="R534" s="57">
        <v>77154</v>
      </c>
      <c r="S534" s="57">
        <v>270039.43</v>
      </c>
      <c r="T534" s="106">
        <f>IF(A534="Upgrade",IF(OR(H534=4,H534=5),_xlfn.XLOOKUP(I534,'Renewal Rates'!$A$22:$A$27,'Renewal Rates'!$B$22:$B$27,'Renewal Rates'!$B$27,0),'Renewal Rates'!$F$7),IF(A534="Renewal",100%,0%))</f>
        <v>0</v>
      </c>
      <c r="U534" s="68">
        <f t="shared" si="8"/>
        <v>0</v>
      </c>
      <c r="V534" s="68"/>
    </row>
    <row r="535" spans="1:22" x14ac:dyDescent="0.3">
      <c r="A535" s="1" t="s">
        <v>21</v>
      </c>
      <c r="B535" s="51">
        <v>4.01</v>
      </c>
      <c r="C535" s="58">
        <v>2000076955</v>
      </c>
      <c r="D535" s="86">
        <v>69.52</v>
      </c>
      <c r="E535" s="86"/>
      <c r="F535" s="64">
        <v>450</v>
      </c>
      <c r="G535" s="64">
        <v>825</v>
      </c>
      <c r="H535" s="64">
        <v>4</v>
      </c>
      <c r="I535" s="45">
        <v>2</v>
      </c>
      <c r="J535" s="1">
        <v>386</v>
      </c>
      <c r="K535" s="54" t="s">
        <v>23</v>
      </c>
      <c r="L535" s="54" t="s">
        <v>24</v>
      </c>
      <c r="M535" s="57">
        <v>334551</v>
      </c>
      <c r="N535" s="57">
        <v>4812</v>
      </c>
      <c r="O535" s="57">
        <v>113747</v>
      </c>
      <c r="P535" s="57">
        <v>448298</v>
      </c>
      <c r="Q535" s="77">
        <v>0.4</v>
      </c>
      <c r="R535" s="57">
        <v>179319</v>
      </c>
      <c r="S535" s="78">
        <v>627617</v>
      </c>
      <c r="T535" s="106">
        <f>IF(A535="Upgrade",IF(OR(H535=4,H535=5),_xlfn.XLOOKUP(I535,'Renewal Rates'!$A$22:$A$27,'Renewal Rates'!$B$22:$B$27,'Renewal Rates'!$B$27,0),'Renewal Rates'!$F$7),IF(A535="Renewal",100%,0%))</f>
        <v>0</v>
      </c>
      <c r="U535" s="68">
        <f t="shared" si="8"/>
        <v>0</v>
      </c>
      <c r="V535" s="68"/>
    </row>
    <row r="536" spans="1:22" x14ac:dyDescent="0.3">
      <c r="A536" s="41" t="s">
        <v>21</v>
      </c>
      <c r="B536" s="51">
        <v>6.0090000000000003</v>
      </c>
      <c r="C536" s="58">
        <v>2000758727</v>
      </c>
      <c r="D536" s="86">
        <v>16.34</v>
      </c>
      <c r="E536" s="86"/>
      <c r="F536" s="52">
        <v>225</v>
      </c>
      <c r="G536" s="53">
        <v>825</v>
      </c>
      <c r="H536" s="52" t="s">
        <v>122</v>
      </c>
      <c r="I536" s="45" t="s">
        <v>122</v>
      </c>
      <c r="J536" s="41">
        <v>387</v>
      </c>
      <c r="K536" s="54" t="s">
        <v>23</v>
      </c>
      <c r="L536" s="54" t="s">
        <v>24</v>
      </c>
      <c r="M536" s="57">
        <v>93423</v>
      </c>
      <c r="N536" s="57">
        <v>5717</v>
      </c>
      <c r="O536" s="57">
        <v>31764</v>
      </c>
      <c r="P536" s="57">
        <v>125186</v>
      </c>
      <c r="Q536" s="77">
        <v>0.4</v>
      </c>
      <c r="R536" s="57">
        <v>50075</v>
      </c>
      <c r="S536" s="57">
        <v>175260.97</v>
      </c>
      <c r="T536" s="106">
        <f>IF(A536="Upgrade",IF(OR(H536=4,H536=5),_xlfn.XLOOKUP(I536,'Renewal Rates'!$A$22:$A$27,'Renewal Rates'!$B$22:$B$27,'Renewal Rates'!$B$27,0),'Renewal Rates'!$F$7),IF(A536="Renewal",100%,0%))</f>
        <v>2.6599999999999999E-2</v>
      </c>
      <c r="U536" s="68">
        <f t="shared" si="8"/>
        <v>4661.9418019999994</v>
      </c>
      <c r="V536" s="68"/>
    </row>
    <row r="537" spans="1:22" x14ac:dyDescent="0.3">
      <c r="A537" s="41" t="s">
        <v>21</v>
      </c>
      <c r="B537" s="51">
        <v>2.0299999999999998</v>
      </c>
      <c r="C537" s="58">
        <v>2000530041</v>
      </c>
      <c r="D537" s="86">
        <v>8.89</v>
      </c>
      <c r="E537" s="86"/>
      <c r="F537" s="52">
        <v>450</v>
      </c>
      <c r="G537" s="53">
        <v>900</v>
      </c>
      <c r="H537" s="52" t="s">
        <v>122</v>
      </c>
      <c r="I537" s="45" t="s">
        <v>122</v>
      </c>
      <c r="J537" s="79">
        <v>385</v>
      </c>
      <c r="K537" s="54" t="s">
        <v>23</v>
      </c>
      <c r="L537" s="54" t="s">
        <v>24</v>
      </c>
      <c r="M537" s="57">
        <v>60812</v>
      </c>
      <c r="N537" s="57">
        <v>6841</v>
      </c>
      <c r="O537" s="57">
        <v>30452</v>
      </c>
      <c r="P537" s="57">
        <v>120017</v>
      </c>
      <c r="Q537" s="77">
        <v>0.4</v>
      </c>
      <c r="R537" s="57">
        <v>48007</v>
      </c>
      <c r="S537" s="57">
        <v>168024.46997000001</v>
      </c>
      <c r="T537" s="106">
        <f>IF(A537="Upgrade",IF(OR(H537=4,H537=5),_xlfn.XLOOKUP(I537,'Renewal Rates'!$A$22:$A$27,'Renewal Rates'!$B$22:$B$27,'Renewal Rates'!$B$27,0),'Renewal Rates'!$F$7),IF(A537="Renewal",100%,0%))</f>
        <v>2.6599999999999999E-2</v>
      </c>
      <c r="U537" s="68">
        <f t="shared" si="8"/>
        <v>4469.4509012019998</v>
      </c>
      <c r="V537" s="68"/>
    </row>
    <row r="538" spans="1:22" x14ac:dyDescent="0.3">
      <c r="A538" s="41" t="s">
        <v>21</v>
      </c>
      <c r="B538" s="51">
        <v>18.004000000000001</v>
      </c>
      <c r="C538" s="58">
        <v>2000190863</v>
      </c>
      <c r="D538" s="86">
        <v>94.29</v>
      </c>
      <c r="E538" s="86"/>
      <c r="F538" s="52">
        <v>225</v>
      </c>
      <c r="G538" s="53">
        <v>750</v>
      </c>
      <c r="H538" s="52" t="s">
        <v>122</v>
      </c>
      <c r="I538" s="45" t="s">
        <v>122</v>
      </c>
      <c r="J538" s="79">
        <v>377</v>
      </c>
      <c r="K538" s="54" t="s">
        <v>23</v>
      </c>
      <c r="L538" s="54" t="s">
        <v>24</v>
      </c>
      <c r="M538" s="57">
        <v>377180</v>
      </c>
      <c r="N538" s="57">
        <v>4000</v>
      </c>
      <c r="O538" s="57">
        <v>128241</v>
      </c>
      <c r="P538" s="57">
        <v>505421</v>
      </c>
      <c r="Q538" s="77">
        <v>0.4</v>
      </c>
      <c r="R538" s="57">
        <v>202168</v>
      </c>
      <c r="S538" s="57">
        <v>707589.43</v>
      </c>
      <c r="T538" s="106">
        <f>IF(A538="Upgrade",IF(OR(H538=4,H538=5),_xlfn.XLOOKUP(I538,'Renewal Rates'!$A$22:$A$27,'Renewal Rates'!$B$22:$B$27,'Renewal Rates'!$B$27,0),'Renewal Rates'!$F$7),IF(A538="Renewal",100%,0%))</f>
        <v>2.6599999999999999E-2</v>
      </c>
      <c r="U538" s="68">
        <f t="shared" si="8"/>
        <v>18821.878838000001</v>
      </c>
      <c r="V538" s="68"/>
    </row>
    <row r="539" spans="1:22" x14ac:dyDescent="0.3">
      <c r="A539" s="41" t="s">
        <v>21</v>
      </c>
      <c r="B539" s="51">
        <v>4.0049999999999999</v>
      </c>
      <c r="C539" s="58">
        <v>3000153261</v>
      </c>
      <c r="D539" s="86">
        <v>19.411769</v>
      </c>
      <c r="E539" s="86"/>
      <c r="F539" s="52">
        <v>750</v>
      </c>
      <c r="G539" s="53">
        <v>975</v>
      </c>
      <c r="H539" s="52">
        <v>4</v>
      </c>
      <c r="I539" s="45"/>
      <c r="J539" s="79">
        <v>386</v>
      </c>
      <c r="K539" s="54" t="s">
        <v>23</v>
      </c>
      <c r="L539" s="54" t="s">
        <v>24</v>
      </c>
      <c r="M539" s="57">
        <v>148387</v>
      </c>
      <c r="N539" s="57">
        <v>7644</v>
      </c>
      <c r="O539" s="57">
        <v>50452</v>
      </c>
      <c r="P539" s="57">
        <v>198839</v>
      </c>
      <c r="Q539" s="77">
        <v>0.4</v>
      </c>
      <c r="R539" s="57">
        <v>79536</v>
      </c>
      <c r="S539" s="57">
        <v>278374.84000000003</v>
      </c>
      <c r="T539" s="106">
        <f>IF(A539="Upgrade",IF(OR(H539=4,H539=5),_xlfn.XLOOKUP(I539,'Renewal Rates'!$A$22:$A$27,'Renewal Rates'!$B$22:$B$27,'Renewal Rates'!$B$27,0),'Renewal Rates'!$F$7),IF(A539="Renewal",100%,0%))</f>
        <v>0.116578</v>
      </c>
      <c r="U539" s="68">
        <f t="shared" si="8"/>
        <v>32452.382097520003</v>
      </c>
      <c r="V539" s="68"/>
    </row>
    <row r="540" spans="1:22" x14ac:dyDescent="0.3">
      <c r="A540" s="41" t="s">
        <v>21</v>
      </c>
      <c r="B540" s="51">
        <v>2.06</v>
      </c>
      <c r="C540" s="58">
        <v>2000074123</v>
      </c>
      <c r="D540" s="86">
        <v>54.37</v>
      </c>
      <c r="E540" s="86"/>
      <c r="F540" s="52">
        <v>300</v>
      </c>
      <c r="G540" s="53">
        <v>825</v>
      </c>
      <c r="H540" s="52">
        <v>4</v>
      </c>
      <c r="I540" s="45">
        <v>3</v>
      </c>
      <c r="J540" s="79">
        <v>385</v>
      </c>
      <c r="K540" s="54" t="s">
        <v>23</v>
      </c>
      <c r="L540" s="54" t="s">
        <v>24</v>
      </c>
      <c r="M540" s="57">
        <v>272588</v>
      </c>
      <c r="N540" s="80">
        <v>5014</v>
      </c>
      <c r="O540" s="57">
        <v>92680</v>
      </c>
      <c r="P540" s="57">
        <v>365268</v>
      </c>
      <c r="Q540" s="77">
        <v>0.4</v>
      </c>
      <c r="R540" s="57">
        <v>146107</v>
      </c>
      <c r="S540" s="57">
        <v>511375.55</v>
      </c>
      <c r="T540" s="106">
        <f>IF(A540="Upgrade",IF(OR(H540=4,H540=5),_xlfn.XLOOKUP(I540,'Renewal Rates'!$A$22:$A$27,'Renewal Rates'!$B$22:$B$27,'Renewal Rates'!$B$27,0),'Renewal Rates'!$F$7),IF(A540="Renewal",100%,0%))</f>
        <v>0.21</v>
      </c>
      <c r="U540" s="68">
        <f t="shared" si="8"/>
        <v>107388.8655</v>
      </c>
      <c r="V540" s="68"/>
    </row>
    <row r="541" spans="1:22" x14ac:dyDescent="0.3">
      <c r="A541" s="41" t="s">
        <v>21</v>
      </c>
      <c r="B541" s="51">
        <v>3.0430000000000001</v>
      </c>
      <c r="C541" s="58">
        <v>2000778511</v>
      </c>
      <c r="D541" s="100">
        <v>69.739999999999995</v>
      </c>
      <c r="E541" s="86"/>
      <c r="F541" s="41">
        <v>450</v>
      </c>
      <c r="G541" s="45">
        <v>675</v>
      </c>
      <c r="H541" s="52" t="s">
        <v>122</v>
      </c>
      <c r="I541" s="45" t="s">
        <v>122</v>
      </c>
      <c r="J541" s="79">
        <v>387</v>
      </c>
      <c r="K541" s="54" t="s">
        <v>23</v>
      </c>
      <c r="L541" s="54" t="s">
        <v>24</v>
      </c>
      <c r="M541" s="57">
        <v>298436</v>
      </c>
      <c r="N541" s="57">
        <v>4279</v>
      </c>
      <c r="O541" s="80">
        <v>101468</v>
      </c>
      <c r="P541" s="57">
        <v>399905</v>
      </c>
      <c r="Q541" s="77">
        <v>0.4</v>
      </c>
      <c r="R541" s="57">
        <v>159962</v>
      </c>
      <c r="S541" s="57">
        <v>559866.84</v>
      </c>
      <c r="T541" s="106">
        <f>IF(A541="Upgrade",IF(OR(H541=4,H541=5),_xlfn.XLOOKUP(I541,'Renewal Rates'!$A$22:$A$27,'Renewal Rates'!$B$22:$B$27,'Renewal Rates'!$B$27,0),'Renewal Rates'!$F$7),IF(A541="Renewal",100%,0%))</f>
        <v>2.6599999999999999E-2</v>
      </c>
      <c r="U541" s="68">
        <f t="shared" si="8"/>
        <v>14892.457943999998</v>
      </c>
      <c r="V541" s="68"/>
    </row>
    <row r="542" spans="1:22" x14ac:dyDescent="0.3">
      <c r="A542" s="41" t="s">
        <v>21</v>
      </c>
      <c r="B542" s="51">
        <v>2.0129999999999999</v>
      </c>
      <c r="C542" s="58">
        <v>2000567397</v>
      </c>
      <c r="D542" s="100">
        <v>68.349999999999994</v>
      </c>
      <c r="E542" s="86"/>
      <c r="F542" s="41">
        <v>225</v>
      </c>
      <c r="G542" s="45">
        <v>750</v>
      </c>
      <c r="H542" s="52" t="s">
        <v>122</v>
      </c>
      <c r="I542" s="45" t="s">
        <v>122</v>
      </c>
      <c r="J542" s="79">
        <v>385</v>
      </c>
      <c r="K542" s="54" t="s">
        <v>23</v>
      </c>
      <c r="L542" s="54" t="s">
        <v>24</v>
      </c>
      <c r="M542" s="57">
        <v>269630</v>
      </c>
      <c r="N542" s="57">
        <v>4643</v>
      </c>
      <c r="O542" s="57">
        <v>91674</v>
      </c>
      <c r="P542" s="57">
        <v>361304</v>
      </c>
      <c r="Q542" s="81">
        <v>0.4</v>
      </c>
      <c r="R542" s="57">
        <v>144522</v>
      </c>
      <c r="S542" s="57">
        <v>505826.24</v>
      </c>
      <c r="T542" s="106">
        <f>IF(A542="Upgrade",IF(OR(H542=4,H542=5),_xlfn.XLOOKUP(I542,'Renewal Rates'!$A$22:$A$27,'Renewal Rates'!$B$22:$B$27,'Renewal Rates'!$B$27,0),'Renewal Rates'!$F$7),IF(A542="Renewal",100%,0%))</f>
        <v>2.6599999999999999E-2</v>
      </c>
      <c r="U542" s="68">
        <f t="shared" si="8"/>
        <v>13454.977983999999</v>
      </c>
      <c r="V542" s="68"/>
    </row>
    <row r="543" spans="1:22" x14ac:dyDescent="0.3">
      <c r="A543" s="41" t="s">
        <v>21</v>
      </c>
      <c r="B543" s="51">
        <v>4.0049999999999999</v>
      </c>
      <c r="C543" s="58">
        <v>3000153260</v>
      </c>
      <c r="D543" s="100">
        <v>3.330508</v>
      </c>
      <c r="E543" s="86"/>
      <c r="F543" s="41">
        <v>675</v>
      </c>
      <c r="G543" s="45">
        <v>975</v>
      </c>
      <c r="H543" s="52">
        <v>4</v>
      </c>
      <c r="I543" s="45"/>
      <c r="J543" s="79">
        <v>386</v>
      </c>
      <c r="K543" s="54" t="s">
        <v>23</v>
      </c>
      <c r="L543" s="54" t="s">
        <v>24</v>
      </c>
      <c r="M543" s="57">
        <v>73176</v>
      </c>
      <c r="N543" s="57">
        <v>21971</v>
      </c>
      <c r="O543" s="57">
        <v>24880</v>
      </c>
      <c r="P543" s="57">
        <v>98056</v>
      </c>
      <c r="Q543" s="77">
        <v>0.4</v>
      </c>
      <c r="R543" s="57">
        <v>39222</v>
      </c>
      <c r="S543" s="57">
        <v>137278.49</v>
      </c>
      <c r="T543" s="106">
        <f>IF(A543="Upgrade",IF(OR(H543=4,H543=5),_xlfn.XLOOKUP(I543,'Renewal Rates'!$A$22:$A$27,'Renewal Rates'!$B$22:$B$27,'Renewal Rates'!$B$27,0),'Renewal Rates'!$F$7),IF(A543="Renewal",100%,0%))</f>
        <v>0.116578</v>
      </c>
      <c r="U543" s="68">
        <f t="shared" si="8"/>
        <v>16003.65180722</v>
      </c>
      <c r="V543" s="68"/>
    </row>
    <row r="544" spans="1:22" x14ac:dyDescent="0.3">
      <c r="A544" s="41" t="s">
        <v>21</v>
      </c>
      <c r="B544" s="51">
        <v>11.010999999999999</v>
      </c>
      <c r="C544" s="58">
        <v>2000922511</v>
      </c>
      <c r="D544" s="100">
        <v>87.06</v>
      </c>
      <c r="E544" s="100"/>
      <c r="F544" s="79">
        <v>225</v>
      </c>
      <c r="G544" s="45">
        <v>675</v>
      </c>
      <c r="H544" s="52" t="s">
        <v>122</v>
      </c>
      <c r="I544" s="45" t="s">
        <v>122</v>
      </c>
      <c r="J544" s="79">
        <v>377</v>
      </c>
      <c r="K544" s="54" t="s">
        <v>23</v>
      </c>
      <c r="L544" s="54" t="s">
        <v>24</v>
      </c>
      <c r="M544" s="57">
        <v>334638</v>
      </c>
      <c r="N544" s="57">
        <v>3844</v>
      </c>
      <c r="O544" s="57">
        <v>113777</v>
      </c>
      <c r="P544" s="57">
        <v>448415</v>
      </c>
      <c r="Q544" s="77">
        <v>0.4</v>
      </c>
      <c r="R544" s="57">
        <v>179366</v>
      </c>
      <c r="S544" s="57">
        <v>627780.43999999994</v>
      </c>
      <c r="T544" s="106">
        <f>IF(A544="Upgrade",IF(OR(H544=4,H544=5),_xlfn.XLOOKUP(I544,'Renewal Rates'!$A$22:$A$27,'Renewal Rates'!$B$22:$B$27,'Renewal Rates'!$B$27,0),'Renewal Rates'!$F$7),IF(A544="Renewal",100%,0%))</f>
        <v>2.6599999999999999E-2</v>
      </c>
      <c r="U544" s="68">
        <f t="shared" si="8"/>
        <v>16698.959703999997</v>
      </c>
      <c r="V544" s="68"/>
    </row>
    <row r="545" spans="1:22" x14ac:dyDescent="0.3">
      <c r="A545" s="41" t="s">
        <v>21</v>
      </c>
      <c r="B545" s="51" t="s">
        <v>22</v>
      </c>
      <c r="C545" s="58">
        <v>2000455982</v>
      </c>
      <c r="D545" s="100">
        <v>22.2</v>
      </c>
      <c r="E545" s="100"/>
      <c r="F545" s="79">
        <v>825</v>
      </c>
      <c r="G545" s="45">
        <v>1200</v>
      </c>
      <c r="H545" s="52"/>
      <c r="I545" s="45" t="s">
        <v>122</v>
      </c>
      <c r="J545" s="79">
        <v>377</v>
      </c>
      <c r="K545" s="54" t="s">
        <v>23</v>
      </c>
      <c r="L545" s="54" t="s">
        <v>24</v>
      </c>
      <c r="M545" s="57">
        <v>186102.57610000001</v>
      </c>
      <c r="N545" s="57">
        <v>8375.4534999999996</v>
      </c>
      <c r="O545" s="57">
        <v>63274.875874000005</v>
      </c>
      <c r="P545" s="57">
        <v>249377.45197400003</v>
      </c>
      <c r="Q545" s="77">
        <v>0.4</v>
      </c>
      <c r="R545" s="57">
        <v>99750.980789600013</v>
      </c>
      <c r="S545" s="57">
        <v>349128.43276360002</v>
      </c>
      <c r="T545" s="106">
        <f>IF(A545="Upgrade",IF(OR(H545=4,H545=5),_xlfn.XLOOKUP(I545,'Renewal Rates'!$A$22:$A$27,'Renewal Rates'!$B$22:$B$27,'Renewal Rates'!$B$27,0),'Renewal Rates'!$F$7),IF(A545="Renewal",100%,0%))</f>
        <v>2.6599999999999999E-2</v>
      </c>
      <c r="U545" s="68">
        <f t="shared" si="8"/>
        <v>9286.8163115117604</v>
      </c>
      <c r="V545" s="68"/>
    </row>
    <row r="546" spans="1:22" x14ac:dyDescent="0.3">
      <c r="A546" s="79" t="s">
        <v>21</v>
      </c>
      <c r="B546" s="51">
        <v>6.0090000000000003</v>
      </c>
      <c r="C546" s="82">
        <v>2000750470</v>
      </c>
      <c r="D546" s="100">
        <v>80.22</v>
      </c>
      <c r="E546" s="100"/>
      <c r="F546" s="79">
        <v>375</v>
      </c>
      <c r="G546" s="45">
        <v>825</v>
      </c>
      <c r="H546" s="52" t="s">
        <v>122</v>
      </c>
      <c r="I546" s="45" t="s">
        <v>122</v>
      </c>
      <c r="J546" s="79">
        <v>387</v>
      </c>
      <c r="K546" s="83" t="s">
        <v>23</v>
      </c>
      <c r="L546" s="54" t="s">
        <v>24</v>
      </c>
      <c r="M546" s="57">
        <v>370295</v>
      </c>
      <c r="N546" s="57">
        <v>4616</v>
      </c>
      <c r="O546" s="57">
        <v>125900</v>
      </c>
      <c r="P546" s="57">
        <v>496195</v>
      </c>
      <c r="Q546" s="77">
        <v>0.4</v>
      </c>
      <c r="R546" s="57">
        <v>198478</v>
      </c>
      <c r="S546" s="57">
        <v>694673.21</v>
      </c>
      <c r="T546" s="106">
        <f>IF(A546="Upgrade",IF(OR(H546=4,H546=5),_xlfn.XLOOKUP(I546,'Renewal Rates'!$A$22:$A$27,'Renewal Rates'!$B$22:$B$27,'Renewal Rates'!$B$27,0),'Renewal Rates'!$F$7),IF(A546="Renewal",100%,0%))</f>
        <v>2.6599999999999999E-2</v>
      </c>
      <c r="U546" s="68">
        <f t="shared" si="8"/>
        <v>18478.307385999997</v>
      </c>
      <c r="V546" s="68"/>
    </row>
    <row r="547" spans="1:22" x14ac:dyDescent="0.3">
      <c r="A547" s="79" t="s">
        <v>21</v>
      </c>
      <c r="B547" s="51">
        <v>3.0630000000000002</v>
      </c>
      <c r="C547" s="82">
        <v>2000548131</v>
      </c>
      <c r="D547" s="100">
        <v>91.44</v>
      </c>
      <c r="E547" s="100"/>
      <c r="F547" s="79">
        <v>300</v>
      </c>
      <c r="G547" s="45">
        <v>750</v>
      </c>
      <c r="H547" s="52" t="s">
        <v>122</v>
      </c>
      <c r="I547" s="45" t="s">
        <v>122</v>
      </c>
      <c r="J547" s="79">
        <v>386</v>
      </c>
      <c r="K547" s="83" t="s">
        <v>23</v>
      </c>
      <c r="L547" s="54" t="s">
        <v>24</v>
      </c>
      <c r="M547" s="57">
        <v>373307</v>
      </c>
      <c r="N547" s="57">
        <v>4083</v>
      </c>
      <c r="O547" s="57">
        <v>126924</v>
      </c>
      <c r="P547" s="57">
        <v>500231</v>
      </c>
      <c r="Q547" s="77">
        <v>0.4</v>
      </c>
      <c r="R547" s="57">
        <v>200093</v>
      </c>
      <c r="S547" s="57">
        <v>700323.98</v>
      </c>
      <c r="T547" s="106">
        <f>IF(A547="Upgrade",IF(OR(H547=4,H547=5),_xlfn.XLOOKUP(I547,'Renewal Rates'!$A$22:$A$27,'Renewal Rates'!$B$22:$B$27,'Renewal Rates'!$B$27,0),'Renewal Rates'!$F$7),IF(A547="Renewal",100%,0%))</f>
        <v>2.6599999999999999E-2</v>
      </c>
      <c r="U547" s="68">
        <f t="shared" si="8"/>
        <v>18628.617867999998</v>
      </c>
      <c r="V547" s="68"/>
    </row>
    <row r="548" spans="1:22" x14ac:dyDescent="0.3">
      <c r="A548" s="79" t="s">
        <v>21</v>
      </c>
      <c r="B548" s="51" t="s">
        <v>22</v>
      </c>
      <c r="C548" s="82">
        <v>2000285988</v>
      </c>
      <c r="D548" s="100">
        <v>2.8</v>
      </c>
      <c r="E548" s="100"/>
      <c r="F548" s="79">
        <v>300</v>
      </c>
      <c r="G548" s="45">
        <v>675</v>
      </c>
      <c r="H548" s="52" t="s">
        <v>122</v>
      </c>
      <c r="I548" s="45" t="s">
        <v>122</v>
      </c>
      <c r="J548" s="79">
        <v>385</v>
      </c>
      <c r="K548" s="83" t="s">
        <v>23</v>
      </c>
      <c r="L548" s="54" t="s">
        <v>24</v>
      </c>
      <c r="M548" s="57">
        <v>53363.1204</v>
      </c>
      <c r="N548" s="57">
        <v>19058.257300000001</v>
      </c>
      <c r="O548" s="57">
        <v>18143.460935999999</v>
      </c>
      <c r="P548" s="57">
        <v>71506.581336000003</v>
      </c>
      <c r="Q548" s="77">
        <v>0.4</v>
      </c>
      <c r="R548" s="57">
        <v>28602.632534400003</v>
      </c>
      <c r="S548" s="57">
        <v>100109.21387040001</v>
      </c>
      <c r="T548" s="106">
        <f>IF(A548="Upgrade",IF(OR(H548=4,H548=5),_xlfn.XLOOKUP(I548,'Renewal Rates'!$A$22:$A$27,'Renewal Rates'!$B$22:$B$27,'Renewal Rates'!$B$27,0),'Renewal Rates'!$F$7),IF(A548="Renewal",100%,0%))</f>
        <v>2.6599999999999999E-2</v>
      </c>
      <c r="U548" s="68">
        <f t="shared" si="8"/>
        <v>2662.9050889526402</v>
      </c>
      <c r="V548" s="68"/>
    </row>
    <row r="549" spans="1:22" x14ac:dyDescent="0.3">
      <c r="A549" s="79" t="s">
        <v>21</v>
      </c>
      <c r="B549" s="51">
        <v>1.0149999999999999</v>
      </c>
      <c r="C549" s="82">
        <v>2000325732</v>
      </c>
      <c r="D549" s="100">
        <v>64.819999999999993</v>
      </c>
      <c r="E549" s="100"/>
      <c r="F549" s="79">
        <v>300</v>
      </c>
      <c r="G549" s="45">
        <v>675</v>
      </c>
      <c r="H549" s="52" t="s">
        <v>122</v>
      </c>
      <c r="I549" s="45" t="s">
        <v>122</v>
      </c>
      <c r="J549" s="79">
        <v>385</v>
      </c>
      <c r="K549" s="83" t="s">
        <v>23</v>
      </c>
      <c r="L549" s="54" t="s">
        <v>24</v>
      </c>
      <c r="M549" s="57">
        <v>269152</v>
      </c>
      <c r="N549" s="57">
        <v>4152</v>
      </c>
      <c r="O549" s="57">
        <v>91512</v>
      </c>
      <c r="P549" s="57">
        <v>360664</v>
      </c>
      <c r="Q549" s="77">
        <v>0.4</v>
      </c>
      <c r="R549" s="57">
        <v>144266</v>
      </c>
      <c r="S549" s="57">
        <v>504929.87</v>
      </c>
      <c r="T549" s="106">
        <f>IF(A549="Upgrade",IF(OR(H549=4,H549=5),_xlfn.XLOOKUP(I549,'Renewal Rates'!$A$22:$A$27,'Renewal Rates'!$B$22:$B$27,'Renewal Rates'!$B$27,0),'Renewal Rates'!$F$7),IF(A549="Renewal",100%,0%))</f>
        <v>2.6599999999999999E-2</v>
      </c>
      <c r="U549" s="68">
        <f t="shared" si="8"/>
        <v>13431.134542</v>
      </c>
      <c r="V549" s="68"/>
    </row>
    <row r="550" spans="1:22" x14ac:dyDescent="0.3">
      <c r="A550" s="79" t="s">
        <v>21</v>
      </c>
      <c r="B550" s="51" t="s">
        <v>22</v>
      </c>
      <c r="C550" s="82">
        <v>2000715971</v>
      </c>
      <c r="D550" s="100">
        <v>2.19</v>
      </c>
      <c r="E550" s="100"/>
      <c r="F550" s="79">
        <v>375</v>
      </c>
      <c r="G550" s="45">
        <v>675</v>
      </c>
      <c r="H550" s="52" t="s">
        <v>122</v>
      </c>
      <c r="I550" s="45" t="s">
        <v>122</v>
      </c>
      <c r="J550" s="79">
        <v>385</v>
      </c>
      <c r="K550" s="83" t="s">
        <v>23</v>
      </c>
      <c r="L550" s="54" t="s">
        <v>24</v>
      </c>
      <c r="M550" s="57">
        <v>52636.871400000004</v>
      </c>
      <c r="N550" s="57">
        <v>24002.221399999999</v>
      </c>
      <c r="O550" s="57">
        <v>17896.536276000003</v>
      </c>
      <c r="P550" s="57">
        <v>70533.407676000003</v>
      </c>
      <c r="Q550" s="77">
        <v>0.4</v>
      </c>
      <c r="R550" s="57">
        <v>28213.363070400002</v>
      </c>
      <c r="S550" s="57">
        <v>98746.770746399998</v>
      </c>
      <c r="T550" s="106">
        <f>IF(A550="Upgrade",IF(OR(H550=4,H550=5),_xlfn.XLOOKUP(I550,'Renewal Rates'!$A$22:$A$27,'Renewal Rates'!$B$22:$B$27,'Renewal Rates'!$B$27,0),'Renewal Rates'!$F$7),IF(A550="Renewal",100%,0%))</f>
        <v>2.6599999999999999E-2</v>
      </c>
      <c r="U550" s="68">
        <f t="shared" si="8"/>
        <v>2626.66410185424</v>
      </c>
      <c r="V550" s="68"/>
    </row>
    <row r="551" spans="1:22" x14ac:dyDescent="0.3">
      <c r="A551" s="101" t="s">
        <v>21</v>
      </c>
      <c r="B551" s="89">
        <v>1.014</v>
      </c>
      <c r="C551" s="102">
        <v>2000230928</v>
      </c>
      <c r="D551" s="103">
        <v>66.290000000000006</v>
      </c>
      <c r="E551" s="103"/>
      <c r="F551" s="101">
        <v>375</v>
      </c>
      <c r="G551" s="93">
        <v>675</v>
      </c>
      <c r="H551" s="91" t="s">
        <v>122</v>
      </c>
      <c r="I551" s="93" t="s">
        <v>122</v>
      </c>
      <c r="J551" s="101">
        <v>385</v>
      </c>
      <c r="K551" s="104" t="s">
        <v>23</v>
      </c>
      <c r="L551" s="94" t="s">
        <v>24</v>
      </c>
      <c r="M551" s="97">
        <v>270911</v>
      </c>
      <c r="N551" s="97">
        <v>4087</v>
      </c>
      <c r="O551" s="97">
        <v>92110</v>
      </c>
      <c r="P551" s="97">
        <v>363021</v>
      </c>
      <c r="Q551" s="105">
        <v>0.4</v>
      </c>
      <c r="R551" s="97">
        <v>145208</v>
      </c>
      <c r="S551" s="97">
        <v>508229.36</v>
      </c>
      <c r="T551" s="106">
        <f>IF(A551="Upgrade",IF(OR(H551=4,H551=5),_xlfn.XLOOKUP(I551,'Renewal Rates'!$A$22:$A$27,'Renewal Rates'!$B$22:$B$27,'Renewal Rates'!$B$27,0),'Renewal Rates'!$F$7),IF(A551="Renewal",100%,0%))</f>
        <v>2.6599999999999999E-2</v>
      </c>
      <c r="U551" s="68">
        <f t="shared" si="8"/>
        <v>13518.900975999999</v>
      </c>
      <c r="V551" s="68"/>
    </row>
    <row r="552" spans="1:22" x14ac:dyDescent="0.3">
      <c r="T552" s="106"/>
      <c r="U552" s="68"/>
    </row>
    <row r="553" spans="1:22" x14ac:dyDescent="0.3">
      <c r="T553" s="106"/>
      <c r="U553" s="68"/>
    </row>
    <row r="554" spans="1:22" x14ac:dyDescent="0.3">
      <c r="T554" s="106"/>
      <c r="U554" s="68"/>
    </row>
    <row r="555" spans="1:22" x14ac:dyDescent="0.3">
      <c r="T555" s="106"/>
      <c r="U555" s="68"/>
    </row>
    <row r="556" spans="1:22" x14ac:dyDescent="0.3">
      <c r="T556" s="106"/>
      <c r="U556" s="68"/>
    </row>
    <row r="557" spans="1:22" x14ac:dyDescent="0.3">
      <c r="T557" s="106"/>
      <c r="U557" s="68"/>
    </row>
    <row r="558" spans="1:22" x14ac:dyDescent="0.3">
      <c r="T558" s="106"/>
      <c r="U558" s="68"/>
    </row>
    <row r="559" spans="1:22" x14ac:dyDescent="0.3">
      <c r="T559" s="106"/>
      <c r="U559" s="68"/>
    </row>
    <row r="560" spans="1:22" x14ac:dyDescent="0.3">
      <c r="T560" s="106"/>
      <c r="U560" s="68"/>
    </row>
    <row r="561" spans="20:21" x14ac:dyDescent="0.3">
      <c r="T561" s="106"/>
      <c r="U561" s="68"/>
    </row>
    <row r="562" spans="20:21" x14ac:dyDescent="0.3">
      <c r="T562" s="106"/>
      <c r="U562" s="68"/>
    </row>
    <row r="563" spans="20:21" x14ac:dyDescent="0.3">
      <c r="T563" s="106"/>
      <c r="U563" s="68"/>
    </row>
    <row r="564" spans="20:21" x14ac:dyDescent="0.3">
      <c r="T564" s="106"/>
      <c r="U564" s="68"/>
    </row>
    <row r="565" spans="20:21" x14ac:dyDescent="0.3">
      <c r="T565" s="106"/>
      <c r="U565" s="68"/>
    </row>
    <row r="566" spans="20:21" x14ac:dyDescent="0.3">
      <c r="T566" s="106"/>
      <c r="U566" s="68"/>
    </row>
    <row r="567" spans="20:21" x14ac:dyDescent="0.3">
      <c r="T567" s="106"/>
      <c r="U567" s="68"/>
    </row>
    <row r="568" spans="20:21" x14ac:dyDescent="0.3">
      <c r="T568" s="106"/>
      <c r="U568" s="68"/>
    </row>
    <row r="569" spans="20:21" x14ac:dyDescent="0.3">
      <c r="T569" s="106"/>
      <c r="U569" s="68"/>
    </row>
    <row r="570" spans="20:21" x14ac:dyDescent="0.3">
      <c r="T570" s="106"/>
      <c r="U570" s="68"/>
    </row>
    <row r="571" spans="20:21" x14ac:dyDescent="0.3">
      <c r="T571" s="106"/>
      <c r="U571" s="68"/>
    </row>
    <row r="572" spans="20:21" x14ac:dyDescent="0.3">
      <c r="T572" s="106"/>
      <c r="U572" s="68"/>
    </row>
    <row r="573" spans="20:21" x14ac:dyDescent="0.3">
      <c r="T573" s="106"/>
      <c r="U573" s="68"/>
    </row>
    <row r="574" spans="20:21" x14ac:dyDescent="0.3">
      <c r="T574" s="106"/>
      <c r="U574" s="68"/>
    </row>
    <row r="575" spans="20:21" x14ac:dyDescent="0.3">
      <c r="T575" s="106"/>
      <c r="U575" s="68"/>
    </row>
    <row r="576" spans="20:21" x14ac:dyDescent="0.3">
      <c r="T576" s="106"/>
      <c r="U576" s="68"/>
    </row>
    <row r="577" spans="20:21" x14ac:dyDescent="0.3">
      <c r="T577" s="106"/>
      <c r="U577" s="68"/>
    </row>
    <row r="578" spans="20:21" x14ac:dyDescent="0.3">
      <c r="T578" s="106"/>
      <c r="U578" s="68"/>
    </row>
    <row r="579" spans="20:21" x14ac:dyDescent="0.3">
      <c r="T579" s="106"/>
      <c r="U579" s="68"/>
    </row>
    <row r="580" spans="20:21" x14ac:dyDescent="0.3">
      <c r="T580" s="106"/>
      <c r="U580" s="68"/>
    </row>
    <row r="581" spans="20:21" x14ac:dyDescent="0.3">
      <c r="T581" s="106"/>
      <c r="U581" s="68"/>
    </row>
    <row r="582" spans="20:21" x14ac:dyDescent="0.3">
      <c r="T582" s="106"/>
      <c r="U582" s="68"/>
    </row>
    <row r="583" spans="20:21" x14ac:dyDescent="0.3">
      <c r="T583" s="106"/>
      <c r="U583" s="68"/>
    </row>
    <row r="584" spans="20:21" x14ac:dyDescent="0.3">
      <c r="T584" s="106"/>
      <c r="U584" s="68"/>
    </row>
    <row r="585" spans="20:21" x14ac:dyDescent="0.3">
      <c r="T585" s="106"/>
      <c r="U585" s="68"/>
    </row>
    <row r="586" spans="20:21" x14ac:dyDescent="0.3">
      <c r="T586" s="106"/>
      <c r="U586" s="68"/>
    </row>
    <row r="587" spans="20:21" x14ac:dyDescent="0.3">
      <c r="T587" s="106"/>
      <c r="U587" s="68"/>
    </row>
    <row r="588" spans="20:21" x14ac:dyDescent="0.3">
      <c r="T588" s="106"/>
      <c r="U588" s="68"/>
    </row>
    <row r="589" spans="20:21" x14ac:dyDescent="0.3">
      <c r="T589" s="106"/>
      <c r="U589" s="68"/>
    </row>
    <row r="590" spans="20:21" x14ac:dyDescent="0.3">
      <c r="T590" s="106"/>
      <c r="U590" s="68"/>
    </row>
    <row r="591" spans="20:21" x14ac:dyDescent="0.3">
      <c r="T591" s="106"/>
      <c r="U591" s="68"/>
    </row>
    <row r="592" spans="20:21" x14ac:dyDescent="0.3">
      <c r="T592" s="106"/>
      <c r="U592" s="68"/>
    </row>
    <row r="593" spans="20:21" x14ac:dyDescent="0.3">
      <c r="T593" s="106"/>
      <c r="U593" s="68"/>
    </row>
    <row r="594" spans="20:21" x14ac:dyDescent="0.3">
      <c r="T594" s="106"/>
      <c r="U594" s="68"/>
    </row>
    <row r="595" spans="20:21" x14ac:dyDescent="0.3">
      <c r="T595" s="106"/>
      <c r="U595" s="68"/>
    </row>
    <row r="596" spans="20:21" x14ac:dyDescent="0.3">
      <c r="T596" s="106"/>
      <c r="U596" s="68"/>
    </row>
    <row r="597" spans="20:21" x14ac:dyDescent="0.3">
      <c r="T597" s="106"/>
      <c r="U597" s="68"/>
    </row>
    <row r="598" spans="20:21" x14ac:dyDescent="0.3">
      <c r="T598" s="106"/>
      <c r="U598" s="68"/>
    </row>
    <row r="599" spans="20:21" x14ac:dyDescent="0.3">
      <c r="T599" s="106"/>
      <c r="U599" s="68"/>
    </row>
    <row r="600" spans="20:21" x14ac:dyDescent="0.3">
      <c r="T600" s="106"/>
      <c r="U600" s="68"/>
    </row>
    <row r="601" spans="20:21" x14ac:dyDescent="0.3">
      <c r="T601" s="106"/>
      <c r="U601" s="68"/>
    </row>
    <row r="602" spans="20:21" x14ac:dyDescent="0.3">
      <c r="T602" s="106"/>
      <c r="U602" s="68"/>
    </row>
    <row r="603" spans="20:21" x14ac:dyDescent="0.3">
      <c r="T603" s="106"/>
      <c r="U603" s="68"/>
    </row>
    <row r="604" spans="20:21" x14ac:dyDescent="0.3">
      <c r="T604" s="106"/>
      <c r="U604" s="68"/>
    </row>
    <row r="605" spans="20:21" x14ac:dyDescent="0.3">
      <c r="T605" s="106"/>
      <c r="U605" s="68"/>
    </row>
    <row r="606" spans="20:21" x14ac:dyDescent="0.3">
      <c r="T606" s="106"/>
      <c r="U606" s="68"/>
    </row>
    <row r="607" spans="20:21" x14ac:dyDescent="0.3">
      <c r="T607" s="106"/>
      <c r="U607" s="68"/>
    </row>
    <row r="608" spans="20:21" x14ac:dyDescent="0.3">
      <c r="T608" s="106"/>
      <c r="U608" s="68"/>
    </row>
    <row r="609" spans="20:21" x14ac:dyDescent="0.3">
      <c r="T609" s="106"/>
      <c r="U609" s="68"/>
    </row>
    <row r="610" spans="20:21" x14ac:dyDescent="0.3">
      <c r="T610" s="106"/>
      <c r="U610" s="68"/>
    </row>
    <row r="611" spans="20:21" x14ac:dyDescent="0.3">
      <c r="T611" s="106"/>
      <c r="U611" s="68"/>
    </row>
    <row r="612" spans="20:21" x14ac:dyDescent="0.3">
      <c r="T612" s="106"/>
      <c r="U612" s="68"/>
    </row>
    <row r="613" spans="20:21" x14ac:dyDescent="0.3">
      <c r="T613" s="106"/>
      <c r="U613" s="68"/>
    </row>
  </sheetData>
  <sheetProtection algorithmName="SHA-512" hashValue="U+vaJNz9Tt4UNUIOUTur0ZDcS6DvO7tL0cjCGM4XuUmNS9Dee7v+m28hrBiQLSQIRdUXHZCA3yutTJSIBNPAfw==" saltValue="SQzXSuSXUO1qtX85EFqPsQ==" spinCount="100000" sheet="1" objects="1" scenarios="1" autoFilter="0"/>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1432-F652-4D5C-B38B-5778F411CA89}">
  <sheetPr>
    <tabColor theme="9" tint="0.59999389629810485"/>
  </sheetPr>
  <dimension ref="A1:U1525"/>
  <sheetViews>
    <sheetView workbookViewId="0">
      <selection activeCell="N13" sqref="N13"/>
    </sheetView>
  </sheetViews>
  <sheetFormatPr defaultRowHeight="14.4" x14ac:dyDescent="0.3"/>
  <cols>
    <col min="13" max="13" width="24.109375" bestFit="1" customWidth="1"/>
    <col min="18" max="18" width="11" bestFit="1" customWidth="1"/>
    <col min="19" max="19" width="16.109375" bestFit="1" customWidth="1"/>
    <col min="20" max="20" width="9.109375" style="41"/>
    <col min="21" max="21" width="20.33203125" style="41" customWidth="1"/>
  </cols>
  <sheetData>
    <row r="1" spans="1:21" x14ac:dyDescent="0.3">
      <c r="A1" t="s">
        <v>126</v>
      </c>
    </row>
    <row r="2" spans="1:21" s="41" customFormat="1" ht="58.2" customHeight="1" thickBot="1" x14ac:dyDescent="0.35">
      <c r="A2" s="187" t="s">
        <v>0</v>
      </c>
      <c r="B2" s="188" t="s">
        <v>119</v>
      </c>
      <c r="C2" s="188" t="s">
        <v>2</v>
      </c>
      <c r="D2" s="187" t="s">
        <v>3</v>
      </c>
      <c r="E2" s="187" t="s">
        <v>120</v>
      </c>
      <c r="F2" s="187" t="s">
        <v>5</v>
      </c>
      <c r="G2" s="187" t="s">
        <v>6</v>
      </c>
      <c r="H2" s="187" t="s">
        <v>121</v>
      </c>
      <c r="I2" s="187" t="s">
        <v>8</v>
      </c>
      <c r="J2" s="187" t="s">
        <v>11</v>
      </c>
      <c r="K2" s="189" t="s">
        <v>12</v>
      </c>
      <c r="L2" s="189" t="s">
        <v>13</v>
      </c>
      <c r="M2" s="189" t="s">
        <v>14</v>
      </c>
      <c r="N2" s="189" t="s">
        <v>15</v>
      </c>
      <c r="O2" s="189" t="s">
        <v>16</v>
      </c>
      <c r="P2" s="189" t="s">
        <v>17</v>
      </c>
      <c r="Q2" s="189" t="s">
        <v>18</v>
      </c>
      <c r="R2" s="189" t="s">
        <v>19</v>
      </c>
      <c r="S2" s="189" t="s">
        <v>20</v>
      </c>
      <c r="T2" s="190" t="s">
        <v>87</v>
      </c>
      <c r="U2" s="190" t="s">
        <v>128</v>
      </c>
    </row>
    <row r="3" spans="1:21" s="41" customFormat="1" ht="13.8" x14ac:dyDescent="0.3">
      <c r="A3" s="115" t="s">
        <v>21</v>
      </c>
      <c r="B3" s="116">
        <v>2000480831</v>
      </c>
      <c r="C3" s="116">
        <v>1.01</v>
      </c>
      <c r="D3" s="117">
        <v>50.6</v>
      </c>
      <c r="E3" s="117"/>
      <c r="F3" s="117">
        <v>600</v>
      </c>
      <c r="G3" s="117">
        <v>975</v>
      </c>
      <c r="H3" s="118"/>
      <c r="I3" s="119" t="s">
        <v>122</v>
      </c>
      <c r="J3" s="120">
        <v>376</v>
      </c>
      <c r="K3" s="120" t="s">
        <v>23</v>
      </c>
      <c r="L3" s="119" t="s">
        <v>24</v>
      </c>
      <c r="M3" s="121">
        <v>374729</v>
      </c>
      <c r="N3" s="121">
        <v>7403</v>
      </c>
      <c r="O3" s="121">
        <v>127408</v>
      </c>
      <c r="P3" s="121">
        <v>502137</v>
      </c>
      <c r="Q3" s="122">
        <v>0.4</v>
      </c>
      <c r="R3" s="121">
        <v>200855</v>
      </c>
      <c r="S3" s="121">
        <v>702992</v>
      </c>
      <c r="T3" s="106">
        <f>IF(A3="Upgrade",IF(OR(H3=4,H3=5),_xlfn.XLOOKUP(I3,'Renewal Rates'!$A$22:$A$27,'Renewal Rates'!$B$22:$B$27,'Renewal Rates'!$B$27,0),'Renewal Rates'!$F$7),IF(A3="Renewal",100%,0%))</f>
        <v>2.6599999999999999E-2</v>
      </c>
      <c r="U3" s="68">
        <f>S3*T3</f>
        <v>18699.587199999998</v>
      </c>
    </row>
    <row r="4" spans="1:21" s="41" customFormat="1" ht="13.8" x14ac:dyDescent="0.3">
      <c r="A4" s="115" t="s">
        <v>25</v>
      </c>
      <c r="B4" s="116" t="s">
        <v>22</v>
      </c>
      <c r="C4" s="116">
        <v>1.008</v>
      </c>
      <c r="D4" s="117"/>
      <c r="E4" s="117">
        <v>123</v>
      </c>
      <c r="F4" s="117"/>
      <c r="G4" s="117">
        <v>375</v>
      </c>
      <c r="H4" s="123"/>
      <c r="I4" s="117" t="s">
        <v>122</v>
      </c>
      <c r="J4" s="115">
        <v>376</v>
      </c>
      <c r="K4" s="115" t="s">
        <v>23</v>
      </c>
      <c r="L4" s="117" t="s">
        <v>24</v>
      </c>
      <c r="M4" s="66">
        <v>253249</v>
      </c>
      <c r="N4" s="66">
        <v>2059</v>
      </c>
      <c r="O4" s="66">
        <v>86105</v>
      </c>
      <c r="P4" s="66">
        <v>339353</v>
      </c>
      <c r="Q4" s="67">
        <v>0.4</v>
      </c>
      <c r="R4" s="66">
        <v>135741</v>
      </c>
      <c r="S4" s="66">
        <v>475095</v>
      </c>
      <c r="T4" s="106">
        <f>IF(A4="Upgrade",IF(OR(H4=4,H4=5),_xlfn.XLOOKUP(I4,'Renewal Rates'!$A$22:$A$27,'Renewal Rates'!$B$22:$B$27,'Renewal Rates'!$B$27,0),'Renewal Rates'!$F$7),IF(A4="Renewal",100%,0%))</f>
        <v>0</v>
      </c>
      <c r="U4" s="68">
        <f t="shared" ref="U4:U67" si="0">S4*T4</f>
        <v>0</v>
      </c>
    </row>
    <row r="5" spans="1:21" s="41" customFormat="1" ht="13.8" x14ac:dyDescent="0.3">
      <c r="A5" s="115" t="s">
        <v>21</v>
      </c>
      <c r="B5" s="116">
        <v>2000085101</v>
      </c>
      <c r="C5" s="116">
        <v>1.014</v>
      </c>
      <c r="D5" s="117">
        <v>29.6</v>
      </c>
      <c r="E5" s="117"/>
      <c r="F5" s="117">
        <v>600</v>
      </c>
      <c r="G5" s="117">
        <v>825</v>
      </c>
      <c r="H5" s="123"/>
      <c r="I5" s="117" t="s">
        <v>122</v>
      </c>
      <c r="J5" s="115">
        <v>376</v>
      </c>
      <c r="K5" s="115" t="s">
        <v>23</v>
      </c>
      <c r="L5" s="117" t="s">
        <v>24</v>
      </c>
      <c r="M5" s="66">
        <v>152539</v>
      </c>
      <c r="N5" s="66">
        <v>5149</v>
      </c>
      <c r="O5" s="66">
        <v>51863</v>
      </c>
      <c r="P5" s="66">
        <v>204403</v>
      </c>
      <c r="Q5" s="67">
        <v>0.4</v>
      </c>
      <c r="R5" s="66">
        <v>81761</v>
      </c>
      <c r="S5" s="66">
        <v>286164</v>
      </c>
      <c r="T5" s="106">
        <f>IF(A5="Upgrade",IF(OR(H5=4,H5=5),_xlfn.XLOOKUP(I5,'Renewal Rates'!$A$22:$A$27,'Renewal Rates'!$B$22:$B$27,'Renewal Rates'!$B$27,0),'Renewal Rates'!$F$7),IF(A5="Renewal",100%,0%))</f>
        <v>2.6599999999999999E-2</v>
      </c>
      <c r="U5" s="68">
        <f t="shared" si="0"/>
        <v>7611.9623999999994</v>
      </c>
    </row>
    <row r="6" spans="1:21" s="41" customFormat="1" ht="13.8" x14ac:dyDescent="0.3">
      <c r="A6" s="115" t="s">
        <v>21</v>
      </c>
      <c r="B6" s="116">
        <v>2000212994</v>
      </c>
      <c r="C6" s="116">
        <v>1.014</v>
      </c>
      <c r="D6" s="117">
        <v>67.7</v>
      </c>
      <c r="E6" s="117"/>
      <c r="F6" s="117">
        <v>450</v>
      </c>
      <c r="G6" s="117">
        <v>825</v>
      </c>
      <c r="H6" s="123"/>
      <c r="I6" s="117" t="s">
        <v>122</v>
      </c>
      <c r="J6" s="115">
        <v>376</v>
      </c>
      <c r="K6" s="115" t="s">
        <v>23</v>
      </c>
      <c r="L6" s="117" t="s">
        <v>24</v>
      </c>
      <c r="M6" s="66">
        <v>312276</v>
      </c>
      <c r="N6" s="66">
        <v>4616</v>
      </c>
      <c r="O6" s="66">
        <v>106174</v>
      </c>
      <c r="P6" s="66">
        <v>418450</v>
      </c>
      <c r="Q6" s="67">
        <v>0.4</v>
      </c>
      <c r="R6" s="66">
        <v>167380</v>
      </c>
      <c r="S6" s="66">
        <v>585830</v>
      </c>
      <c r="T6" s="106">
        <f>IF(A6="Upgrade",IF(OR(H6=4,H6=5),_xlfn.XLOOKUP(I6,'Renewal Rates'!$A$22:$A$27,'Renewal Rates'!$B$22:$B$27,'Renewal Rates'!$B$27,0),'Renewal Rates'!$F$7),IF(A6="Renewal",100%,0%))</f>
        <v>2.6599999999999999E-2</v>
      </c>
      <c r="U6" s="68">
        <f t="shared" si="0"/>
        <v>15583.078</v>
      </c>
    </row>
    <row r="7" spans="1:21" s="41" customFormat="1" ht="13.8" x14ac:dyDescent="0.3">
      <c r="A7" s="115" t="s">
        <v>21</v>
      </c>
      <c r="B7" s="116">
        <v>2000212079</v>
      </c>
      <c r="C7" s="116">
        <v>1.018</v>
      </c>
      <c r="D7" s="117">
        <v>57.2</v>
      </c>
      <c r="E7" s="117"/>
      <c r="F7" s="117">
        <v>450</v>
      </c>
      <c r="G7" s="117">
        <v>675</v>
      </c>
      <c r="H7" s="123"/>
      <c r="I7" s="117" t="s">
        <v>122</v>
      </c>
      <c r="J7" s="115">
        <v>376</v>
      </c>
      <c r="K7" s="115" t="s">
        <v>23</v>
      </c>
      <c r="L7" s="117" t="s">
        <v>24</v>
      </c>
      <c r="M7" s="66">
        <v>240570</v>
      </c>
      <c r="N7" s="66">
        <v>4207</v>
      </c>
      <c r="O7" s="66">
        <v>81794</v>
      </c>
      <c r="P7" s="66">
        <v>322364</v>
      </c>
      <c r="Q7" s="67">
        <v>0.4</v>
      </c>
      <c r="R7" s="66">
        <v>128946</v>
      </c>
      <c r="S7" s="66">
        <v>451310</v>
      </c>
      <c r="T7" s="106">
        <f>IF(A7="Upgrade",IF(OR(H7=4,H7=5),_xlfn.XLOOKUP(I7,'Renewal Rates'!$A$22:$A$27,'Renewal Rates'!$B$22:$B$27,'Renewal Rates'!$B$27,0),'Renewal Rates'!$F$7),IF(A7="Renewal",100%,0%))</f>
        <v>2.6599999999999999E-2</v>
      </c>
      <c r="U7" s="68">
        <f t="shared" si="0"/>
        <v>12004.846</v>
      </c>
    </row>
    <row r="8" spans="1:21" s="41" customFormat="1" ht="13.8" x14ac:dyDescent="0.3">
      <c r="A8" s="115" t="s">
        <v>21</v>
      </c>
      <c r="B8" s="116">
        <v>2000612766</v>
      </c>
      <c r="C8" s="116">
        <v>1.018</v>
      </c>
      <c r="D8" s="117">
        <v>70.2</v>
      </c>
      <c r="E8" s="117"/>
      <c r="F8" s="117">
        <v>450</v>
      </c>
      <c r="G8" s="117">
        <v>675</v>
      </c>
      <c r="H8" s="123">
        <v>4</v>
      </c>
      <c r="I8" s="117">
        <v>2</v>
      </c>
      <c r="J8" s="115">
        <v>376</v>
      </c>
      <c r="K8" s="115" t="s">
        <v>23</v>
      </c>
      <c r="L8" s="117" t="s">
        <v>24</v>
      </c>
      <c r="M8" s="66">
        <v>275559</v>
      </c>
      <c r="N8" s="66">
        <v>3927</v>
      </c>
      <c r="O8" s="66">
        <v>93690</v>
      </c>
      <c r="P8" s="66">
        <v>369249</v>
      </c>
      <c r="Q8" s="67">
        <v>0.4</v>
      </c>
      <c r="R8" s="66">
        <v>147700</v>
      </c>
      <c r="S8" s="66">
        <v>516948</v>
      </c>
      <c r="T8" s="106">
        <f>IF(A8="Upgrade",IF(OR(H8=4,H8=5),_xlfn.XLOOKUP(I8,'Renewal Rates'!$A$22:$A$27,'Renewal Rates'!$B$22:$B$27,'Renewal Rates'!$B$27,0),'Renewal Rates'!$F$7),IF(A8="Renewal",100%,0%))</f>
        <v>0</v>
      </c>
      <c r="U8" s="68">
        <f t="shared" si="0"/>
        <v>0</v>
      </c>
    </row>
    <row r="9" spans="1:21" s="41" customFormat="1" ht="13.8" x14ac:dyDescent="0.3">
      <c r="A9" s="115" t="s">
        <v>21</v>
      </c>
      <c r="B9" s="116">
        <v>2000531269</v>
      </c>
      <c r="C9" s="116">
        <v>1.018</v>
      </c>
      <c r="D9" s="117">
        <v>56.1</v>
      </c>
      <c r="E9" s="117"/>
      <c r="F9" s="117">
        <v>375</v>
      </c>
      <c r="G9" s="117">
        <v>675</v>
      </c>
      <c r="H9" s="123">
        <v>4</v>
      </c>
      <c r="I9" s="117">
        <v>3</v>
      </c>
      <c r="J9" s="115">
        <v>376</v>
      </c>
      <c r="K9" s="115" t="s">
        <v>23</v>
      </c>
      <c r="L9" s="117" t="s">
        <v>24</v>
      </c>
      <c r="M9" s="66">
        <v>239285</v>
      </c>
      <c r="N9" s="66">
        <v>4265</v>
      </c>
      <c r="O9" s="66">
        <v>81357</v>
      </c>
      <c r="P9" s="66">
        <v>320642</v>
      </c>
      <c r="Q9" s="67">
        <v>0.4</v>
      </c>
      <c r="R9" s="66">
        <v>128257</v>
      </c>
      <c r="S9" s="66">
        <v>448899</v>
      </c>
      <c r="T9" s="106">
        <f>IF(A9="Upgrade",IF(OR(H9=4,H9=5),_xlfn.XLOOKUP(I9,'Renewal Rates'!$A$22:$A$27,'Renewal Rates'!$B$22:$B$27,'Renewal Rates'!$B$27,0),'Renewal Rates'!$F$7),IF(A9="Renewal",100%,0%))</f>
        <v>0.21</v>
      </c>
      <c r="U9" s="68">
        <f t="shared" si="0"/>
        <v>94268.79</v>
      </c>
    </row>
    <row r="10" spans="1:21" s="41" customFormat="1" ht="13.8" x14ac:dyDescent="0.3">
      <c r="A10" s="115" t="s">
        <v>21</v>
      </c>
      <c r="B10" s="116">
        <v>2000762257</v>
      </c>
      <c r="C10" s="116">
        <v>1.0169999999999999</v>
      </c>
      <c r="D10" s="117">
        <v>83.3</v>
      </c>
      <c r="E10" s="117"/>
      <c r="F10" s="117">
        <v>300</v>
      </c>
      <c r="G10" s="117">
        <v>675</v>
      </c>
      <c r="H10" s="123"/>
      <c r="I10" s="117" t="s">
        <v>122</v>
      </c>
      <c r="J10" s="115">
        <v>376</v>
      </c>
      <c r="K10" s="115" t="s">
        <v>23</v>
      </c>
      <c r="L10" s="117" t="s">
        <v>24</v>
      </c>
      <c r="M10" s="66">
        <v>310644</v>
      </c>
      <c r="N10" s="66">
        <v>3731</v>
      </c>
      <c r="O10" s="66">
        <v>105619</v>
      </c>
      <c r="P10" s="66">
        <v>416263</v>
      </c>
      <c r="Q10" s="67">
        <v>0.4</v>
      </c>
      <c r="R10" s="66">
        <v>166505</v>
      </c>
      <c r="S10" s="66">
        <v>582768</v>
      </c>
      <c r="T10" s="106">
        <f>IF(A10="Upgrade",IF(OR(H10=4,H10=5),_xlfn.XLOOKUP(I10,'Renewal Rates'!$A$22:$A$27,'Renewal Rates'!$B$22:$B$27,'Renewal Rates'!$B$27,0),'Renewal Rates'!$F$7),IF(A10="Renewal",100%,0%))</f>
        <v>2.6599999999999999E-2</v>
      </c>
      <c r="U10" s="68">
        <f t="shared" si="0"/>
        <v>15501.628799999999</v>
      </c>
    </row>
    <row r="11" spans="1:21" s="41" customFormat="1" ht="13.8" x14ac:dyDescent="0.3">
      <c r="A11" s="115" t="s">
        <v>21</v>
      </c>
      <c r="B11" s="116">
        <v>3000193994</v>
      </c>
      <c r="C11" s="116">
        <v>1.016</v>
      </c>
      <c r="D11" s="117">
        <v>36</v>
      </c>
      <c r="E11" s="117"/>
      <c r="F11" s="117">
        <v>225</v>
      </c>
      <c r="G11" s="117">
        <v>600</v>
      </c>
      <c r="H11" s="123"/>
      <c r="I11" s="117" t="s">
        <v>122</v>
      </c>
      <c r="J11" s="115">
        <v>376</v>
      </c>
      <c r="K11" s="115" t="s">
        <v>23</v>
      </c>
      <c r="L11" s="117" t="s">
        <v>24</v>
      </c>
      <c r="M11" s="66">
        <v>139004</v>
      </c>
      <c r="N11" s="66">
        <v>3861</v>
      </c>
      <c r="O11" s="66">
        <v>47261</v>
      </c>
      <c r="P11" s="66">
        <v>186265</v>
      </c>
      <c r="Q11" s="67">
        <v>0.4</v>
      </c>
      <c r="R11" s="66">
        <v>74506</v>
      </c>
      <c r="S11" s="66">
        <v>260771</v>
      </c>
      <c r="T11" s="106">
        <f>IF(A11="Upgrade",IF(OR(H11=4,H11=5),_xlfn.XLOOKUP(I11,'Renewal Rates'!$A$22:$A$27,'Renewal Rates'!$B$22:$B$27,'Renewal Rates'!$B$27,0),'Renewal Rates'!$F$7),IF(A11="Renewal",100%,0%))</f>
        <v>2.6599999999999999E-2</v>
      </c>
      <c r="U11" s="68">
        <f t="shared" si="0"/>
        <v>6936.5085999999992</v>
      </c>
    </row>
    <row r="12" spans="1:21" s="41" customFormat="1" ht="13.8" x14ac:dyDescent="0.3">
      <c r="A12" s="115" t="s">
        <v>21</v>
      </c>
      <c r="B12" s="116">
        <v>2000132056</v>
      </c>
      <c r="C12" s="116">
        <v>1.016</v>
      </c>
      <c r="D12" s="117">
        <v>37.9</v>
      </c>
      <c r="E12" s="117"/>
      <c r="F12" s="117">
        <v>225</v>
      </c>
      <c r="G12" s="117">
        <v>600</v>
      </c>
      <c r="H12" s="123"/>
      <c r="I12" s="117" t="s">
        <v>122</v>
      </c>
      <c r="J12" s="115">
        <v>376</v>
      </c>
      <c r="K12" s="115" t="s">
        <v>23</v>
      </c>
      <c r="L12" s="117" t="s">
        <v>24</v>
      </c>
      <c r="M12" s="66">
        <v>140936</v>
      </c>
      <c r="N12" s="66">
        <v>3722</v>
      </c>
      <c r="O12" s="66">
        <v>47918</v>
      </c>
      <c r="P12" s="66">
        <v>188855</v>
      </c>
      <c r="Q12" s="67">
        <v>0.4</v>
      </c>
      <c r="R12" s="66">
        <v>75542</v>
      </c>
      <c r="S12" s="66">
        <v>264396</v>
      </c>
      <c r="T12" s="106">
        <f>IF(A12="Upgrade",IF(OR(H12=4,H12=5),_xlfn.XLOOKUP(I12,'Renewal Rates'!$A$22:$A$27,'Renewal Rates'!$B$22:$B$27,'Renewal Rates'!$B$27,0),'Renewal Rates'!$F$7),IF(A12="Renewal",100%,0%))</f>
        <v>2.6599999999999999E-2</v>
      </c>
      <c r="U12" s="68">
        <f t="shared" si="0"/>
        <v>7032.9335999999994</v>
      </c>
    </row>
    <row r="13" spans="1:21" s="41" customFormat="1" ht="13.8" x14ac:dyDescent="0.3">
      <c r="A13" s="115" t="s">
        <v>21</v>
      </c>
      <c r="B13" s="116">
        <v>2000009226</v>
      </c>
      <c r="C13" s="116">
        <v>1.0089999999999999</v>
      </c>
      <c r="D13" s="117">
        <v>71.400000000000006</v>
      </c>
      <c r="E13" s="117"/>
      <c r="F13" s="117">
        <v>450</v>
      </c>
      <c r="G13" s="117">
        <v>750</v>
      </c>
      <c r="H13" s="123"/>
      <c r="I13" s="117" t="s">
        <v>122</v>
      </c>
      <c r="J13" s="115">
        <v>376</v>
      </c>
      <c r="K13" s="115" t="s">
        <v>23</v>
      </c>
      <c r="L13" s="117" t="s">
        <v>24</v>
      </c>
      <c r="M13" s="66">
        <v>330614</v>
      </c>
      <c r="N13" s="66">
        <v>4629</v>
      </c>
      <c r="O13" s="66">
        <v>112409</v>
      </c>
      <c r="P13" s="66">
        <v>443023</v>
      </c>
      <c r="Q13" s="67">
        <v>0.4</v>
      </c>
      <c r="R13" s="66">
        <v>177209</v>
      </c>
      <c r="S13" s="66">
        <v>620232</v>
      </c>
      <c r="T13" s="106">
        <f>IF(A13="Upgrade",IF(OR(H13=4,H13=5),_xlfn.XLOOKUP(I13,'Renewal Rates'!$A$22:$A$27,'Renewal Rates'!$B$22:$B$27,'Renewal Rates'!$B$27,0),'Renewal Rates'!$F$7),IF(A13="Renewal",100%,0%))</f>
        <v>2.6599999999999999E-2</v>
      </c>
      <c r="U13" s="68">
        <f t="shared" si="0"/>
        <v>16498.171200000001</v>
      </c>
    </row>
    <row r="14" spans="1:21" s="41" customFormat="1" ht="13.8" x14ac:dyDescent="0.3">
      <c r="A14" s="115" t="s">
        <v>21</v>
      </c>
      <c r="B14" s="116">
        <v>3000092542</v>
      </c>
      <c r="C14" s="116">
        <v>1.0089999999999999</v>
      </c>
      <c r="D14" s="117">
        <v>12.5</v>
      </c>
      <c r="E14" s="117"/>
      <c r="F14" s="117">
        <v>450</v>
      </c>
      <c r="G14" s="117">
        <v>750</v>
      </c>
      <c r="H14" s="123"/>
      <c r="I14" s="117" t="s">
        <v>122</v>
      </c>
      <c r="J14" s="115">
        <v>376</v>
      </c>
      <c r="K14" s="115" t="s">
        <v>23</v>
      </c>
      <c r="L14" s="117" t="s">
        <v>24</v>
      </c>
      <c r="M14" s="66">
        <v>86048</v>
      </c>
      <c r="N14" s="66">
        <v>6857</v>
      </c>
      <c r="O14" s="66">
        <v>29256</v>
      </c>
      <c r="P14" s="66">
        <v>115304</v>
      </c>
      <c r="Q14" s="67">
        <v>0.4</v>
      </c>
      <c r="R14" s="66">
        <v>46122</v>
      </c>
      <c r="S14" s="66">
        <v>161426</v>
      </c>
      <c r="T14" s="106">
        <f>IF(A14="Upgrade",IF(OR(H14=4,H14=5),_xlfn.XLOOKUP(I14,'Renewal Rates'!$A$22:$A$27,'Renewal Rates'!$B$22:$B$27,'Renewal Rates'!$B$27,0),'Renewal Rates'!$F$7),IF(A14="Renewal",100%,0%))</f>
        <v>2.6599999999999999E-2</v>
      </c>
      <c r="U14" s="68">
        <f t="shared" si="0"/>
        <v>4293.9315999999999</v>
      </c>
    </row>
    <row r="15" spans="1:21" s="41" customFormat="1" ht="13.8" x14ac:dyDescent="0.3">
      <c r="A15" s="115" t="s">
        <v>25</v>
      </c>
      <c r="B15" s="116" t="s">
        <v>22</v>
      </c>
      <c r="C15" s="116">
        <v>1.0049999999999999</v>
      </c>
      <c r="D15" s="117"/>
      <c r="E15" s="117">
        <v>150</v>
      </c>
      <c r="F15" s="117"/>
      <c r="G15" s="117">
        <v>750</v>
      </c>
      <c r="H15" s="123"/>
      <c r="I15" s="117" t="s">
        <v>122</v>
      </c>
      <c r="J15" s="115">
        <v>376</v>
      </c>
      <c r="K15" s="115" t="s">
        <v>23</v>
      </c>
      <c r="L15" s="117" t="s">
        <v>24</v>
      </c>
      <c r="M15" s="66">
        <v>594039</v>
      </c>
      <c r="N15" s="66">
        <v>3961</v>
      </c>
      <c r="O15" s="66">
        <v>201973</v>
      </c>
      <c r="P15" s="66">
        <v>796013</v>
      </c>
      <c r="Q15" s="67">
        <v>0.4</v>
      </c>
      <c r="R15" s="66">
        <v>318405</v>
      </c>
      <c r="S15" s="66">
        <v>1114418</v>
      </c>
      <c r="T15" s="106">
        <f>IF(A15="Upgrade",IF(OR(H15=4,H15=5),_xlfn.XLOOKUP(I15,'Renewal Rates'!$A$22:$A$27,'Renewal Rates'!$B$22:$B$27,'Renewal Rates'!$B$27,0),'Renewal Rates'!$F$7),IF(A15="Renewal",100%,0%))</f>
        <v>0</v>
      </c>
      <c r="U15" s="68">
        <f t="shared" si="0"/>
        <v>0</v>
      </c>
    </row>
    <row r="16" spans="1:21" s="41" customFormat="1" ht="13.8" x14ac:dyDescent="0.3">
      <c r="A16" s="115" t="s">
        <v>25</v>
      </c>
      <c r="B16" s="116" t="s">
        <v>22</v>
      </c>
      <c r="C16" s="116">
        <v>1.004</v>
      </c>
      <c r="D16" s="117"/>
      <c r="E16" s="117">
        <v>96.8</v>
      </c>
      <c r="F16" s="117"/>
      <c r="G16" s="117">
        <v>600</v>
      </c>
      <c r="H16" s="123"/>
      <c r="I16" s="117" t="s">
        <v>122</v>
      </c>
      <c r="J16" s="115">
        <v>376</v>
      </c>
      <c r="K16" s="115" t="s">
        <v>23</v>
      </c>
      <c r="L16" s="117" t="s">
        <v>24</v>
      </c>
      <c r="M16" s="66">
        <v>317442</v>
      </c>
      <c r="N16" s="66">
        <v>3281</v>
      </c>
      <c r="O16" s="66">
        <v>107930</v>
      </c>
      <c r="P16" s="66">
        <v>425373</v>
      </c>
      <c r="Q16" s="67">
        <v>0.4</v>
      </c>
      <c r="R16" s="66">
        <v>170149</v>
      </c>
      <c r="S16" s="66">
        <v>595522</v>
      </c>
      <c r="T16" s="106">
        <f>IF(A16="Upgrade",IF(OR(H16=4,H16=5),_xlfn.XLOOKUP(I16,'Renewal Rates'!$A$22:$A$27,'Renewal Rates'!$B$22:$B$27,'Renewal Rates'!$B$27,0),'Renewal Rates'!$F$7),IF(A16="Renewal",100%,0%))</f>
        <v>0</v>
      </c>
      <c r="U16" s="68">
        <f t="shared" si="0"/>
        <v>0</v>
      </c>
    </row>
    <row r="17" spans="1:21" s="41" customFormat="1" ht="13.8" x14ac:dyDescent="0.3">
      <c r="A17" s="115" t="s">
        <v>21</v>
      </c>
      <c r="B17" s="116">
        <v>2000535507</v>
      </c>
      <c r="C17" s="116">
        <v>1.0149999999999999</v>
      </c>
      <c r="D17" s="117">
        <v>56.2</v>
      </c>
      <c r="E17" s="117"/>
      <c r="F17" s="117">
        <v>450</v>
      </c>
      <c r="G17" s="117">
        <v>750</v>
      </c>
      <c r="H17" s="123"/>
      <c r="I17" s="117" t="s">
        <v>122</v>
      </c>
      <c r="J17" s="115">
        <v>376</v>
      </c>
      <c r="K17" s="115" t="s">
        <v>23</v>
      </c>
      <c r="L17" s="117" t="s">
        <v>24</v>
      </c>
      <c r="M17" s="66">
        <v>247664</v>
      </c>
      <c r="N17" s="66">
        <v>4406</v>
      </c>
      <c r="O17" s="66">
        <v>84206</v>
      </c>
      <c r="P17" s="66">
        <v>331870</v>
      </c>
      <c r="Q17" s="67">
        <v>0.4</v>
      </c>
      <c r="R17" s="66">
        <v>132748</v>
      </c>
      <c r="S17" s="66">
        <v>464617</v>
      </c>
      <c r="T17" s="106">
        <f>IF(A17="Upgrade",IF(OR(H17=4,H17=5),_xlfn.XLOOKUP(I17,'Renewal Rates'!$A$22:$A$27,'Renewal Rates'!$B$22:$B$27,'Renewal Rates'!$B$27,0),'Renewal Rates'!$F$7),IF(A17="Renewal",100%,0%))</f>
        <v>2.6599999999999999E-2</v>
      </c>
      <c r="U17" s="68">
        <f t="shared" si="0"/>
        <v>12358.812199999998</v>
      </c>
    </row>
    <row r="18" spans="1:21" s="41" customFormat="1" ht="13.8" x14ac:dyDescent="0.3">
      <c r="A18" s="115" t="s">
        <v>21</v>
      </c>
      <c r="B18" s="116">
        <v>2000884078</v>
      </c>
      <c r="C18" s="116">
        <v>1.0149999999999999</v>
      </c>
      <c r="D18" s="117">
        <v>52.5</v>
      </c>
      <c r="E18" s="117"/>
      <c r="F18" s="117">
        <v>450</v>
      </c>
      <c r="G18" s="117">
        <v>750</v>
      </c>
      <c r="H18" s="123"/>
      <c r="I18" s="117" t="s">
        <v>122</v>
      </c>
      <c r="J18" s="115">
        <v>376</v>
      </c>
      <c r="K18" s="115" t="s">
        <v>23</v>
      </c>
      <c r="L18" s="117" t="s">
        <v>24</v>
      </c>
      <c r="M18" s="66">
        <v>242595</v>
      </c>
      <c r="N18" s="66">
        <v>4622</v>
      </c>
      <c r="O18" s="66">
        <v>82482</v>
      </c>
      <c r="P18" s="66">
        <v>325078</v>
      </c>
      <c r="Q18" s="67">
        <v>0.4</v>
      </c>
      <c r="R18" s="66">
        <v>130031</v>
      </c>
      <c r="S18" s="66">
        <v>455109</v>
      </c>
      <c r="T18" s="106">
        <f>IF(A18="Upgrade",IF(OR(H18=4,H18=5),_xlfn.XLOOKUP(I18,'Renewal Rates'!$A$22:$A$27,'Renewal Rates'!$B$22:$B$27,'Renewal Rates'!$B$27,0),'Renewal Rates'!$F$7),IF(A18="Renewal",100%,0%))</f>
        <v>2.6599999999999999E-2</v>
      </c>
      <c r="U18" s="68">
        <f t="shared" si="0"/>
        <v>12105.8994</v>
      </c>
    </row>
    <row r="19" spans="1:21" s="41" customFormat="1" ht="13.8" x14ac:dyDescent="0.3">
      <c r="A19" s="115" t="s">
        <v>21</v>
      </c>
      <c r="B19" s="116">
        <v>2000571042</v>
      </c>
      <c r="C19" s="116">
        <v>1.0149999999999999</v>
      </c>
      <c r="D19" s="117">
        <v>10.9</v>
      </c>
      <c r="E19" s="117"/>
      <c r="F19" s="117">
        <v>450</v>
      </c>
      <c r="G19" s="117">
        <v>750</v>
      </c>
      <c r="H19" s="123"/>
      <c r="I19" s="117" t="s">
        <v>122</v>
      </c>
      <c r="J19" s="115">
        <v>376</v>
      </c>
      <c r="K19" s="115" t="s">
        <v>23</v>
      </c>
      <c r="L19" s="117" t="s">
        <v>24</v>
      </c>
      <c r="M19" s="66">
        <v>83753</v>
      </c>
      <c r="N19" s="66">
        <v>7711</v>
      </c>
      <c r="O19" s="66">
        <v>28476</v>
      </c>
      <c r="P19" s="66">
        <v>112229</v>
      </c>
      <c r="Q19" s="67">
        <v>0.4</v>
      </c>
      <c r="R19" s="66">
        <v>44891</v>
      </c>
      <c r="S19" s="66">
        <v>157120</v>
      </c>
      <c r="T19" s="106">
        <f>IF(A19="Upgrade",IF(OR(H19=4,H19=5),_xlfn.XLOOKUP(I19,'Renewal Rates'!$A$22:$A$27,'Renewal Rates'!$B$22:$B$27,'Renewal Rates'!$B$27,0),'Renewal Rates'!$F$7),IF(A19="Renewal",100%,0%))</f>
        <v>2.6599999999999999E-2</v>
      </c>
      <c r="U19" s="68">
        <f t="shared" si="0"/>
        <v>4179.3919999999998</v>
      </c>
    </row>
    <row r="20" spans="1:21" s="41" customFormat="1" ht="13.8" x14ac:dyDescent="0.3">
      <c r="A20" s="115" t="s">
        <v>21</v>
      </c>
      <c r="B20" s="116">
        <v>2000634015</v>
      </c>
      <c r="C20" s="116">
        <v>1.0129999999999999</v>
      </c>
      <c r="D20" s="117">
        <v>32</v>
      </c>
      <c r="E20" s="117"/>
      <c r="F20" s="117">
        <v>450</v>
      </c>
      <c r="G20" s="117">
        <v>675</v>
      </c>
      <c r="H20" s="123"/>
      <c r="I20" s="117" t="s">
        <v>122</v>
      </c>
      <c r="J20" s="115">
        <v>377</v>
      </c>
      <c r="K20" s="115" t="s">
        <v>23</v>
      </c>
      <c r="L20" s="117" t="s">
        <v>24</v>
      </c>
      <c r="M20" s="66">
        <v>169993</v>
      </c>
      <c r="N20" s="66">
        <v>5315</v>
      </c>
      <c r="O20" s="66">
        <v>57797</v>
      </c>
      <c r="P20" s="66">
        <v>227790</v>
      </c>
      <c r="Q20" s="67">
        <v>0.4</v>
      </c>
      <c r="R20" s="66">
        <v>91116</v>
      </c>
      <c r="S20" s="66">
        <v>318906</v>
      </c>
      <c r="T20" s="106">
        <f>IF(A20="Upgrade",IF(OR(H20=4,H20=5),_xlfn.XLOOKUP(I20,'Renewal Rates'!$A$22:$A$27,'Renewal Rates'!$B$22:$B$27,'Renewal Rates'!$B$27,0),'Renewal Rates'!$F$7),IF(A20="Renewal",100%,0%))</f>
        <v>2.6599999999999999E-2</v>
      </c>
      <c r="U20" s="68">
        <f t="shared" si="0"/>
        <v>8482.8995999999988</v>
      </c>
    </row>
    <row r="21" spans="1:21" s="41" customFormat="1" ht="13.8" x14ac:dyDescent="0.3">
      <c r="A21" s="115" t="s">
        <v>21</v>
      </c>
      <c r="B21" s="116">
        <v>2000231831</v>
      </c>
      <c r="C21" s="116">
        <v>1.0129999999999999</v>
      </c>
      <c r="D21" s="117">
        <v>41.9</v>
      </c>
      <c r="E21" s="117"/>
      <c r="F21" s="117">
        <v>450</v>
      </c>
      <c r="G21" s="117">
        <v>675</v>
      </c>
      <c r="H21" s="123"/>
      <c r="I21" s="117" t="s">
        <v>122</v>
      </c>
      <c r="J21" s="115">
        <v>377</v>
      </c>
      <c r="K21" s="115" t="s">
        <v>23</v>
      </c>
      <c r="L21" s="117" t="s">
        <v>24</v>
      </c>
      <c r="M21" s="66">
        <v>177941</v>
      </c>
      <c r="N21" s="66">
        <v>4243</v>
      </c>
      <c r="O21" s="66">
        <v>60500</v>
      </c>
      <c r="P21" s="66">
        <v>238441</v>
      </c>
      <c r="Q21" s="67">
        <v>0.4</v>
      </c>
      <c r="R21" s="66">
        <v>95376</v>
      </c>
      <c r="S21" s="66">
        <v>333817</v>
      </c>
      <c r="T21" s="106">
        <f>IF(A21="Upgrade",IF(OR(H21=4,H21=5),_xlfn.XLOOKUP(I21,'Renewal Rates'!$A$22:$A$27,'Renewal Rates'!$B$22:$B$27,'Renewal Rates'!$B$27,0),'Renewal Rates'!$F$7),IF(A21="Renewal",100%,0%))</f>
        <v>2.6599999999999999E-2</v>
      </c>
      <c r="U21" s="68">
        <f t="shared" si="0"/>
        <v>8879.5321999999996</v>
      </c>
    </row>
    <row r="22" spans="1:21" s="41" customFormat="1" ht="13.8" x14ac:dyDescent="0.3">
      <c r="A22" s="115" t="s">
        <v>21</v>
      </c>
      <c r="B22" s="116">
        <v>2000061690</v>
      </c>
      <c r="C22" s="116">
        <v>1.0109999999999999</v>
      </c>
      <c r="D22" s="117">
        <v>61.6</v>
      </c>
      <c r="E22" s="117"/>
      <c r="F22" s="117">
        <v>225</v>
      </c>
      <c r="G22" s="117">
        <v>525</v>
      </c>
      <c r="H22" s="123">
        <v>4</v>
      </c>
      <c r="I22" s="117">
        <v>2</v>
      </c>
      <c r="J22" s="115">
        <v>368</v>
      </c>
      <c r="K22" s="115" t="s">
        <v>23</v>
      </c>
      <c r="L22" s="117" t="s">
        <v>24</v>
      </c>
      <c r="M22" s="66">
        <v>194287</v>
      </c>
      <c r="N22" s="66">
        <v>3156</v>
      </c>
      <c r="O22" s="66">
        <v>66058</v>
      </c>
      <c r="P22" s="66">
        <v>260345</v>
      </c>
      <c r="Q22" s="67">
        <v>0.4</v>
      </c>
      <c r="R22" s="66">
        <v>104138</v>
      </c>
      <c r="S22" s="66">
        <v>364483</v>
      </c>
      <c r="T22" s="106">
        <f>IF(A22="Upgrade",IF(OR(H22=4,H22=5),_xlfn.XLOOKUP(I22,'Renewal Rates'!$A$22:$A$27,'Renewal Rates'!$B$22:$B$27,'Renewal Rates'!$B$27,0),'Renewal Rates'!$F$7),IF(A22="Renewal",100%,0%))</f>
        <v>0</v>
      </c>
      <c r="U22" s="68">
        <f t="shared" si="0"/>
        <v>0</v>
      </c>
    </row>
    <row r="23" spans="1:21" s="41" customFormat="1" ht="13.8" x14ac:dyDescent="0.3">
      <c r="A23" s="115" t="s">
        <v>21</v>
      </c>
      <c r="B23" s="116">
        <v>2000706286</v>
      </c>
      <c r="C23" s="116">
        <v>1.0109999999999999</v>
      </c>
      <c r="D23" s="117">
        <v>7.4</v>
      </c>
      <c r="E23" s="117"/>
      <c r="F23" s="117">
        <v>225</v>
      </c>
      <c r="G23" s="117">
        <v>525</v>
      </c>
      <c r="H23" s="123"/>
      <c r="I23" s="117" t="s">
        <v>122</v>
      </c>
      <c r="J23" s="115">
        <v>368</v>
      </c>
      <c r="K23" s="115" t="s">
        <v>23</v>
      </c>
      <c r="L23" s="117" t="s">
        <v>24</v>
      </c>
      <c r="M23" s="66">
        <v>50361</v>
      </c>
      <c r="N23" s="66">
        <v>6831</v>
      </c>
      <c r="O23" s="66">
        <v>17123</v>
      </c>
      <c r="P23" s="66">
        <v>67484</v>
      </c>
      <c r="Q23" s="67">
        <v>0.4</v>
      </c>
      <c r="R23" s="66">
        <v>26994</v>
      </c>
      <c r="S23" s="66">
        <v>94478</v>
      </c>
      <c r="T23" s="106">
        <f>IF(A23="Upgrade",IF(OR(H23=4,H23=5),_xlfn.XLOOKUP(I23,'Renewal Rates'!$A$22:$A$27,'Renewal Rates'!$B$22:$B$27,'Renewal Rates'!$B$27,0),'Renewal Rates'!$F$7),IF(A23="Renewal",100%,0%))</f>
        <v>2.6599999999999999E-2</v>
      </c>
      <c r="U23" s="68">
        <f t="shared" si="0"/>
        <v>2513.1147999999998</v>
      </c>
    </row>
    <row r="24" spans="1:21" s="41" customFormat="1" ht="13.8" x14ac:dyDescent="0.3">
      <c r="A24" s="115" t="s">
        <v>25</v>
      </c>
      <c r="B24" s="116" t="s">
        <v>22</v>
      </c>
      <c r="C24" s="116">
        <v>1.0029999999999999</v>
      </c>
      <c r="D24" s="117"/>
      <c r="E24" s="117">
        <v>37.799999999999997</v>
      </c>
      <c r="F24" s="117"/>
      <c r="G24" s="117">
        <v>375</v>
      </c>
      <c r="H24" s="123"/>
      <c r="I24" s="117" t="s">
        <v>122</v>
      </c>
      <c r="J24" s="115">
        <v>368</v>
      </c>
      <c r="K24" s="115" t="s">
        <v>23</v>
      </c>
      <c r="L24" s="117" t="s">
        <v>24</v>
      </c>
      <c r="M24" s="66">
        <v>91777</v>
      </c>
      <c r="N24" s="66">
        <v>2429</v>
      </c>
      <c r="O24" s="66">
        <v>31204</v>
      </c>
      <c r="P24" s="66">
        <v>122982</v>
      </c>
      <c r="Q24" s="67">
        <v>0.4</v>
      </c>
      <c r="R24" s="66">
        <v>49193</v>
      </c>
      <c r="S24" s="66">
        <v>172174</v>
      </c>
      <c r="T24" s="106">
        <f>IF(A24="Upgrade",IF(OR(H24=4,H24=5),_xlfn.XLOOKUP(I24,'Renewal Rates'!$A$22:$A$27,'Renewal Rates'!$B$22:$B$27,'Renewal Rates'!$B$27,0),'Renewal Rates'!$F$7),IF(A24="Renewal",100%,0%))</f>
        <v>0</v>
      </c>
      <c r="U24" s="68">
        <f t="shared" si="0"/>
        <v>0</v>
      </c>
    </row>
    <row r="25" spans="1:21" s="41" customFormat="1" ht="13.8" x14ac:dyDescent="0.3">
      <c r="A25" s="115" t="s">
        <v>21</v>
      </c>
      <c r="B25" s="116">
        <v>2000751203</v>
      </c>
      <c r="C25" s="116">
        <v>1.012</v>
      </c>
      <c r="D25" s="117">
        <v>41</v>
      </c>
      <c r="E25" s="117"/>
      <c r="F25" s="117">
        <v>300</v>
      </c>
      <c r="G25" s="117">
        <v>525</v>
      </c>
      <c r="H25" s="123"/>
      <c r="I25" s="117" t="s">
        <v>122</v>
      </c>
      <c r="J25" s="115">
        <v>368</v>
      </c>
      <c r="K25" s="115" t="s">
        <v>23</v>
      </c>
      <c r="L25" s="117" t="s">
        <v>24</v>
      </c>
      <c r="M25" s="66">
        <v>138026</v>
      </c>
      <c r="N25" s="66">
        <v>3367</v>
      </c>
      <c r="O25" s="66">
        <v>46929</v>
      </c>
      <c r="P25" s="66">
        <v>184955</v>
      </c>
      <c r="Q25" s="67">
        <v>0.4</v>
      </c>
      <c r="R25" s="66">
        <v>73982</v>
      </c>
      <c r="S25" s="66">
        <v>258937</v>
      </c>
      <c r="T25" s="106">
        <f>IF(A25="Upgrade",IF(OR(H25=4,H25=5),_xlfn.XLOOKUP(I25,'Renewal Rates'!$A$22:$A$27,'Renewal Rates'!$B$22:$B$27,'Renewal Rates'!$B$27,0),'Renewal Rates'!$F$7),IF(A25="Renewal",100%,0%))</f>
        <v>2.6599999999999999E-2</v>
      </c>
      <c r="U25" s="68">
        <f t="shared" si="0"/>
        <v>6887.7241999999997</v>
      </c>
    </row>
    <row r="26" spans="1:21" s="41" customFormat="1" ht="13.8" x14ac:dyDescent="0.3">
      <c r="A26" s="115" t="s">
        <v>21</v>
      </c>
      <c r="B26" s="116">
        <v>2000089531</v>
      </c>
      <c r="C26" s="116">
        <v>1.012</v>
      </c>
      <c r="D26" s="117">
        <v>5.4</v>
      </c>
      <c r="E26" s="117"/>
      <c r="F26" s="117">
        <v>225</v>
      </c>
      <c r="G26" s="117">
        <v>525</v>
      </c>
      <c r="H26" s="123"/>
      <c r="I26" s="117" t="s">
        <v>122</v>
      </c>
      <c r="J26" s="115">
        <v>368</v>
      </c>
      <c r="K26" s="115" t="s">
        <v>23</v>
      </c>
      <c r="L26" s="117" t="s">
        <v>24</v>
      </c>
      <c r="M26" s="66">
        <v>48675</v>
      </c>
      <c r="N26" s="66">
        <v>8947</v>
      </c>
      <c r="O26" s="66">
        <v>16550</v>
      </c>
      <c r="P26" s="66">
        <v>65225</v>
      </c>
      <c r="Q26" s="67">
        <v>0.4</v>
      </c>
      <c r="R26" s="66">
        <v>26090</v>
      </c>
      <c r="S26" s="66">
        <v>91315</v>
      </c>
      <c r="T26" s="106">
        <f>IF(A26="Upgrade",IF(OR(H26=4,H26=5),_xlfn.XLOOKUP(I26,'Renewal Rates'!$A$22:$A$27,'Renewal Rates'!$B$22:$B$27,'Renewal Rates'!$B$27,0),'Renewal Rates'!$F$7),IF(A26="Renewal",100%,0%))</f>
        <v>2.6599999999999999E-2</v>
      </c>
      <c r="U26" s="68">
        <f t="shared" si="0"/>
        <v>2428.9789999999998</v>
      </c>
    </row>
    <row r="27" spans="1:21" s="41" customFormat="1" ht="13.8" x14ac:dyDescent="0.3">
      <c r="A27" s="115" t="s">
        <v>25</v>
      </c>
      <c r="B27" s="116" t="s">
        <v>22</v>
      </c>
      <c r="C27" s="116">
        <v>1.0009999999999999</v>
      </c>
      <c r="D27" s="117"/>
      <c r="E27" s="117">
        <v>55.5</v>
      </c>
      <c r="F27" s="117"/>
      <c r="G27" s="117">
        <v>450</v>
      </c>
      <c r="H27" s="123"/>
      <c r="I27" s="117" t="s">
        <v>122</v>
      </c>
      <c r="J27" s="115">
        <v>368</v>
      </c>
      <c r="K27" s="115" t="s">
        <v>23</v>
      </c>
      <c r="L27" s="117" t="s">
        <v>24</v>
      </c>
      <c r="M27" s="66">
        <v>161567</v>
      </c>
      <c r="N27" s="66">
        <v>2913</v>
      </c>
      <c r="O27" s="66">
        <v>54933</v>
      </c>
      <c r="P27" s="66">
        <v>216500</v>
      </c>
      <c r="Q27" s="67">
        <v>0.4</v>
      </c>
      <c r="R27" s="66">
        <v>86600</v>
      </c>
      <c r="S27" s="66">
        <v>303100</v>
      </c>
      <c r="T27" s="106">
        <f>IF(A27="Upgrade",IF(OR(H27=4,H27=5),_xlfn.XLOOKUP(I27,'Renewal Rates'!$A$22:$A$27,'Renewal Rates'!$B$22:$B$27,'Renewal Rates'!$B$27,0),'Renewal Rates'!$F$7),IF(A27="Renewal",100%,0%))</f>
        <v>0</v>
      </c>
      <c r="U27" s="68">
        <f t="shared" si="0"/>
        <v>0</v>
      </c>
    </row>
    <row r="28" spans="1:21" s="41" customFormat="1" ht="13.8" x14ac:dyDescent="0.3">
      <c r="A28" s="115" t="s">
        <v>25</v>
      </c>
      <c r="B28" s="116" t="s">
        <v>22</v>
      </c>
      <c r="C28" s="116">
        <v>1.002</v>
      </c>
      <c r="D28" s="117"/>
      <c r="E28" s="117">
        <v>75.2</v>
      </c>
      <c r="F28" s="117"/>
      <c r="G28" s="117">
        <v>450</v>
      </c>
      <c r="H28" s="123"/>
      <c r="I28" s="117" t="s">
        <v>122</v>
      </c>
      <c r="J28" s="115">
        <v>368</v>
      </c>
      <c r="K28" s="115" t="s">
        <v>23</v>
      </c>
      <c r="L28" s="117" t="s">
        <v>24</v>
      </c>
      <c r="M28" s="66">
        <v>214489</v>
      </c>
      <c r="N28" s="66">
        <v>2854</v>
      </c>
      <c r="O28" s="66">
        <v>72926</v>
      </c>
      <c r="P28" s="66">
        <v>287415</v>
      </c>
      <c r="Q28" s="67">
        <v>0.4</v>
      </c>
      <c r="R28" s="66">
        <v>114966</v>
      </c>
      <c r="S28" s="66">
        <v>402381</v>
      </c>
      <c r="T28" s="106">
        <f>IF(A28="Upgrade",IF(OR(H28=4,H28=5),_xlfn.XLOOKUP(I28,'Renewal Rates'!$A$22:$A$27,'Renewal Rates'!$B$22:$B$27,'Renewal Rates'!$B$27,0),'Renewal Rates'!$F$7),IF(A28="Renewal",100%,0%))</f>
        <v>0</v>
      </c>
      <c r="U28" s="68">
        <f t="shared" si="0"/>
        <v>0</v>
      </c>
    </row>
    <row r="29" spans="1:21" s="41" customFormat="1" ht="13.8" x14ac:dyDescent="0.3">
      <c r="A29" s="115" t="s">
        <v>25</v>
      </c>
      <c r="B29" s="116" t="s">
        <v>22</v>
      </c>
      <c r="C29" s="116">
        <v>1.006</v>
      </c>
      <c r="D29" s="117"/>
      <c r="E29" s="117">
        <v>63.2</v>
      </c>
      <c r="F29" s="117"/>
      <c r="G29" s="117">
        <v>450</v>
      </c>
      <c r="H29" s="123"/>
      <c r="I29" s="117" t="s">
        <v>122</v>
      </c>
      <c r="J29" s="115">
        <v>377</v>
      </c>
      <c r="K29" s="115" t="s">
        <v>23</v>
      </c>
      <c r="L29" s="117" t="s">
        <v>24</v>
      </c>
      <c r="M29" s="66">
        <v>202893</v>
      </c>
      <c r="N29" s="66">
        <v>3211</v>
      </c>
      <c r="O29" s="66">
        <v>68984</v>
      </c>
      <c r="P29" s="66">
        <v>271876</v>
      </c>
      <c r="Q29" s="67">
        <v>0.4</v>
      </c>
      <c r="R29" s="66">
        <v>108751</v>
      </c>
      <c r="S29" s="66">
        <v>380627</v>
      </c>
      <c r="T29" s="106">
        <f>IF(A29="Upgrade",IF(OR(H29=4,H29=5),_xlfn.XLOOKUP(I29,'Renewal Rates'!$A$22:$A$27,'Renewal Rates'!$B$22:$B$27,'Renewal Rates'!$B$27,0),'Renewal Rates'!$F$7),IF(A29="Renewal",100%,0%))</f>
        <v>0</v>
      </c>
      <c r="U29" s="68">
        <f t="shared" si="0"/>
        <v>0</v>
      </c>
    </row>
    <row r="30" spans="1:21" s="41" customFormat="1" ht="13.8" x14ac:dyDescent="0.3">
      <c r="A30" s="115" t="s">
        <v>25</v>
      </c>
      <c r="B30" s="116" t="s">
        <v>22</v>
      </c>
      <c r="C30" s="116">
        <v>2.0019999999999998</v>
      </c>
      <c r="D30" s="117"/>
      <c r="E30" s="117">
        <v>62.1</v>
      </c>
      <c r="F30" s="117"/>
      <c r="G30" s="117">
        <v>450</v>
      </c>
      <c r="H30" s="123"/>
      <c r="I30" s="117" t="s">
        <v>122</v>
      </c>
      <c r="J30" s="115">
        <v>376</v>
      </c>
      <c r="K30" s="115" t="s">
        <v>23</v>
      </c>
      <c r="L30" s="117" t="s">
        <v>24</v>
      </c>
      <c r="M30" s="66">
        <v>185728</v>
      </c>
      <c r="N30" s="66">
        <v>2992</v>
      </c>
      <c r="O30" s="66">
        <v>63148</v>
      </c>
      <c r="P30" s="66">
        <v>248876</v>
      </c>
      <c r="Q30" s="67">
        <v>0.4</v>
      </c>
      <c r="R30" s="66">
        <v>99550</v>
      </c>
      <c r="S30" s="66">
        <v>348426</v>
      </c>
      <c r="T30" s="106">
        <f>IF(A30="Upgrade",IF(OR(H30=4,H30=5),_xlfn.XLOOKUP(I30,'Renewal Rates'!$A$22:$A$27,'Renewal Rates'!$B$22:$B$27,'Renewal Rates'!$B$27,0),'Renewal Rates'!$F$7),IF(A30="Renewal",100%,0%))</f>
        <v>0</v>
      </c>
      <c r="U30" s="68">
        <f t="shared" si="0"/>
        <v>0</v>
      </c>
    </row>
    <row r="31" spans="1:21" s="41" customFormat="1" ht="13.8" x14ac:dyDescent="0.3">
      <c r="A31" s="115" t="s">
        <v>21</v>
      </c>
      <c r="B31" s="116">
        <v>2000063054</v>
      </c>
      <c r="C31" s="116">
        <v>2.0110000000000001</v>
      </c>
      <c r="D31" s="117">
        <v>14.2</v>
      </c>
      <c r="E31" s="117"/>
      <c r="F31" s="117">
        <v>300</v>
      </c>
      <c r="G31" s="117">
        <v>525</v>
      </c>
      <c r="H31" s="123"/>
      <c r="I31" s="117" t="s">
        <v>122</v>
      </c>
      <c r="J31" s="115">
        <v>376</v>
      </c>
      <c r="K31" s="115" t="s">
        <v>23</v>
      </c>
      <c r="L31" s="117" t="s">
        <v>24</v>
      </c>
      <c r="M31" s="66">
        <v>75795</v>
      </c>
      <c r="N31" s="66">
        <v>5322</v>
      </c>
      <c r="O31" s="66">
        <v>25770</v>
      </c>
      <c r="P31" s="66">
        <v>101565</v>
      </c>
      <c r="Q31" s="67">
        <v>0.4</v>
      </c>
      <c r="R31" s="66">
        <v>40626</v>
      </c>
      <c r="S31" s="66">
        <v>142191</v>
      </c>
      <c r="T31" s="106">
        <f>IF(A31="Upgrade",IF(OR(H31=4,H31=5),_xlfn.XLOOKUP(I31,'Renewal Rates'!$A$22:$A$27,'Renewal Rates'!$B$22:$B$27,'Renewal Rates'!$B$27,0),'Renewal Rates'!$F$7),IF(A31="Renewal",100%,0%))</f>
        <v>2.6599999999999999E-2</v>
      </c>
      <c r="U31" s="68">
        <f t="shared" si="0"/>
        <v>3782.2805999999996</v>
      </c>
    </row>
    <row r="32" spans="1:21" s="41" customFormat="1" ht="13.8" x14ac:dyDescent="0.3">
      <c r="A32" s="115" t="s">
        <v>21</v>
      </c>
      <c r="B32" s="116">
        <v>2000637383</v>
      </c>
      <c r="C32" s="116">
        <v>2.0110000000000001</v>
      </c>
      <c r="D32" s="117">
        <v>18.5</v>
      </c>
      <c r="E32" s="117"/>
      <c r="F32" s="117">
        <v>225</v>
      </c>
      <c r="G32" s="117">
        <v>525</v>
      </c>
      <c r="H32" s="123"/>
      <c r="I32" s="117" t="s">
        <v>122</v>
      </c>
      <c r="J32" s="115">
        <v>376</v>
      </c>
      <c r="K32" s="115" t="s">
        <v>23</v>
      </c>
      <c r="L32" s="117" t="s">
        <v>24</v>
      </c>
      <c r="M32" s="66">
        <v>79514</v>
      </c>
      <c r="N32" s="66">
        <v>4298</v>
      </c>
      <c r="O32" s="66">
        <v>27035</v>
      </c>
      <c r="P32" s="66">
        <v>106549</v>
      </c>
      <c r="Q32" s="67">
        <v>0.4</v>
      </c>
      <c r="R32" s="66">
        <v>42620</v>
      </c>
      <c r="S32" s="66">
        <v>149168</v>
      </c>
      <c r="T32" s="106">
        <f>IF(A32="Upgrade",IF(OR(H32=4,H32=5),_xlfn.XLOOKUP(I32,'Renewal Rates'!$A$22:$A$27,'Renewal Rates'!$B$22:$B$27,'Renewal Rates'!$B$27,0),'Renewal Rates'!$F$7),IF(A32="Renewal",100%,0%))</f>
        <v>2.6599999999999999E-2</v>
      </c>
      <c r="U32" s="68">
        <f t="shared" si="0"/>
        <v>3967.8687999999997</v>
      </c>
    </row>
    <row r="33" spans="1:21" s="41" customFormat="1" ht="13.8" x14ac:dyDescent="0.3">
      <c r="A33" s="115" t="s">
        <v>25</v>
      </c>
      <c r="B33" s="116" t="s">
        <v>22</v>
      </c>
      <c r="C33" s="116">
        <v>2.0070000000000001</v>
      </c>
      <c r="D33" s="117"/>
      <c r="E33" s="117">
        <v>104</v>
      </c>
      <c r="F33" s="117"/>
      <c r="G33" s="117">
        <v>450</v>
      </c>
      <c r="H33" s="123"/>
      <c r="I33" s="117" t="s">
        <v>122</v>
      </c>
      <c r="J33" s="115">
        <v>376</v>
      </c>
      <c r="K33" s="115" t="s">
        <v>23</v>
      </c>
      <c r="L33" s="117" t="s">
        <v>24</v>
      </c>
      <c r="M33" s="66">
        <v>293245</v>
      </c>
      <c r="N33" s="66">
        <v>2820</v>
      </c>
      <c r="O33" s="66">
        <v>99703</v>
      </c>
      <c r="P33" s="66">
        <v>392948</v>
      </c>
      <c r="Q33" s="67">
        <v>0.4</v>
      </c>
      <c r="R33" s="66">
        <v>157179</v>
      </c>
      <c r="S33" s="66">
        <v>550127</v>
      </c>
      <c r="T33" s="106">
        <f>IF(A33="Upgrade",IF(OR(H33=4,H33=5),_xlfn.XLOOKUP(I33,'Renewal Rates'!$A$22:$A$27,'Renewal Rates'!$B$22:$B$27,'Renewal Rates'!$B$27,0),'Renewal Rates'!$F$7),IF(A33="Renewal",100%,0%))</f>
        <v>0</v>
      </c>
      <c r="U33" s="68">
        <f t="shared" si="0"/>
        <v>0</v>
      </c>
    </row>
    <row r="34" spans="1:21" s="41" customFormat="1" ht="13.8" x14ac:dyDescent="0.3">
      <c r="A34" s="115" t="s">
        <v>21</v>
      </c>
      <c r="B34" s="116">
        <v>2000070069</v>
      </c>
      <c r="C34" s="116">
        <v>2.0089999999999999</v>
      </c>
      <c r="D34" s="117">
        <v>68</v>
      </c>
      <c r="E34" s="117"/>
      <c r="F34" s="117">
        <v>300</v>
      </c>
      <c r="G34" s="117">
        <v>975</v>
      </c>
      <c r="H34" s="123">
        <v>4</v>
      </c>
      <c r="I34" s="117">
        <v>4</v>
      </c>
      <c r="J34" s="115">
        <v>376</v>
      </c>
      <c r="K34" s="115" t="s">
        <v>23</v>
      </c>
      <c r="L34" s="117" t="s">
        <v>24</v>
      </c>
      <c r="M34" s="66">
        <v>475081</v>
      </c>
      <c r="N34" s="66">
        <v>6984</v>
      </c>
      <c r="O34" s="66">
        <v>161527</v>
      </c>
      <c r="P34" s="66">
        <v>636608</v>
      </c>
      <c r="Q34" s="67">
        <v>0.4</v>
      </c>
      <c r="R34" s="66">
        <v>254643</v>
      </c>
      <c r="S34" s="66">
        <v>891252</v>
      </c>
      <c r="T34" s="106">
        <f>IF(A34="Upgrade",IF(OR(H34=4,H34=5),_xlfn.XLOOKUP(I34,'Renewal Rates'!$A$22:$A$27,'Renewal Rates'!$B$22:$B$27,'Renewal Rates'!$B$27,0),'Renewal Rates'!$F$7),IF(A34="Renewal",100%,0%))</f>
        <v>0.7</v>
      </c>
      <c r="U34" s="68">
        <f t="shared" si="0"/>
        <v>623876.39999999991</v>
      </c>
    </row>
    <row r="35" spans="1:21" s="41" customFormat="1" ht="13.8" x14ac:dyDescent="0.3">
      <c r="A35" s="115" t="s">
        <v>21</v>
      </c>
      <c r="B35" s="116">
        <v>2000236222</v>
      </c>
      <c r="C35" s="116">
        <v>2.0089999999999999</v>
      </c>
      <c r="D35" s="117">
        <v>38</v>
      </c>
      <c r="E35" s="117"/>
      <c r="F35" s="117">
        <v>300</v>
      </c>
      <c r="G35" s="117">
        <v>975</v>
      </c>
      <c r="H35" s="123"/>
      <c r="I35" s="117" t="s">
        <v>122</v>
      </c>
      <c r="J35" s="115">
        <v>376</v>
      </c>
      <c r="K35" s="115" t="s">
        <v>23</v>
      </c>
      <c r="L35" s="117" t="s">
        <v>24</v>
      </c>
      <c r="M35" s="66">
        <v>250951</v>
      </c>
      <c r="N35" s="66">
        <v>6603</v>
      </c>
      <c r="O35" s="66">
        <v>85323</v>
      </c>
      <c r="P35" s="66">
        <v>336275</v>
      </c>
      <c r="Q35" s="67">
        <v>0.4</v>
      </c>
      <c r="R35" s="66">
        <v>134510</v>
      </c>
      <c r="S35" s="66">
        <v>470785</v>
      </c>
      <c r="T35" s="106">
        <f>IF(A35="Upgrade",IF(OR(H35=4,H35=5),_xlfn.XLOOKUP(I35,'Renewal Rates'!$A$22:$A$27,'Renewal Rates'!$B$22:$B$27,'Renewal Rates'!$B$27,0),'Renewal Rates'!$F$7),IF(A35="Renewal",100%,0%))</f>
        <v>2.6599999999999999E-2</v>
      </c>
      <c r="U35" s="68">
        <f t="shared" si="0"/>
        <v>12522.880999999999</v>
      </c>
    </row>
    <row r="36" spans="1:21" s="41" customFormat="1" ht="13.8" x14ac:dyDescent="0.3">
      <c r="A36" s="115" t="s">
        <v>21</v>
      </c>
      <c r="B36" s="116">
        <v>2000227010</v>
      </c>
      <c r="C36" s="116">
        <v>2.0089999999999999</v>
      </c>
      <c r="D36" s="117">
        <v>61.3</v>
      </c>
      <c r="E36" s="117"/>
      <c r="F36" s="117">
        <v>225</v>
      </c>
      <c r="G36" s="117">
        <v>975</v>
      </c>
      <c r="H36" s="123"/>
      <c r="I36" s="117" t="s">
        <v>122</v>
      </c>
      <c r="J36" s="115">
        <v>376</v>
      </c>
      <c r="K36" s="115" t="s">
        <v>23</v>
      </c>
      <c r="L36" s="117" t="s">
        <v>24</v>
      </c>
      <c r="M36" s="66">
        <v>400947</v>
      </c>
      <c r="N36" s="66">
        <v>6539</v>
      </c>
      <c r="O36" s="66">
        <v>136322</v>
      </c>
      <c r="P36" s="66">
        <v>537268</v>
      </c>
      <c r="Q36" s="67">
        <v>0.4</v>
      </c>
      <c r="R36" s="66">
        <v>214907</v>
      </c>
      <c r="S36" s="66">
        <v>752176</v>
      </c>
      <c r="T36" s="106">
        <f>IF(A36="Upgrade",IF(OR(H36=4,H36=5),_xlfn.XLOOKUP(I36,'Renewal Rates'!$A$22:$A$27,'Renewal Rates'!$B$22:$B$27,'Renewal Rates'!$B$27,0),'Renewal Rates'!$F$7),IF(A36="Renewal",100%,0%))</f>
        <v>2.6599999999999999E-2</v>
      </c>
      <c r="U36" s="68">
        <f t="shared" si="0"/>
        <v>20007.881600000001</v>
      </c>
    </row>
    <row r="37" spans="1:21" s="41" customFormat="1" ht="13.8" x14ac:dyDescent="0.3">
      <c r="A37" s="115" t="s">
        <v>21</v>
      </c>
      <c r="B37" s="116">
        <v>2000611077</v>
      </c>
      <c r="C37" s="116">
        <v>2.008</v>
      </c>
      <c r="D37" s="117">
        <v>22.5</v>
      </c>
      <c r="E37" s="117"/>
      <c r="F37" s="117">
        <v>300</v>
      </c>
      <c r="G37" s="117">
        <v>525</v>
      </c>
      <c r="H37" s="123"/>
      <c r="I37" s="117" t="s">
        <v>122</v>
      </c>
      <c r="J37" s="115">
        <v>376</v>
      </c>
      <c r="K37" s="115" t="s">
        <v>23</v>
      </c>
      <c r="L37" s="117" t="s">
        <v>24</v>
      </c>
      <c r="M37" s="66">
        <v>83013</v>
      </c>
      <c r="N37" s="66">
        <v>3688</v>
      </c>
      <c r="O37" s="66">
        <v>28224</v>
      </c>
      <c r="P37" s="66">
        <v>111237</v>
      </c>
      <c r="Q37" s="67">
        <v>0.4</v>
      </c>
      <c r="R37" s="66">
        <v>44495</v>
      </c>
      <c r="S37" s="66">
        <v>155732</v>
      </c>
      <c r="T37" s="106">
        <f>IF(A37="Upgrade",IF(OR(H37=4,H37=5),_xlfn.XLOOKUP(I37,'Renewal Rates'!$A$22:$A$27,'Renewal Rates'!$B$22:$B$27,'Renewal Rates'!$B$27,0),'Renewal Rates'!$F$7),IF(A37="Renewal",100%,0%))</f>
        <v>2.6599999999999999E-2</v>
      </c>
      <c r="U37" s="68">
        <f t="shared" si="0"/>
        <v>4142.4712</v>
      </c>
    </row>
    <row r="38" spans="1:21" s="41" customFormat="1" ht="13.8" x14ac:dyDescent="0.3">
      <c r="A38" s="115" t="s">
        <v>21</v>
      </c>
      <c r="B38" s="116">
        <v>2000903675</v>
      </c>
      <c r="C38" s="116">
        <v>2.008</v>
      </c>
      <c r="D38" s="117">
        <v>40.799999999999997</v>
      </c>
      <c r="E38" s="117"/>
      <c r="F38" s="117">
        <v>225</v>
      </c>
      <c r="G38" s="117">
        <v>525</v>
      </c>
      <c r="H38" s="123"/>
      <c r="I38" s="117" t="s">
        <v>122</v>
      </c>
      <c r="J38" s="115">
        <v>376</v>
      </c>
      <c r="K38" s="115" t="s">
        <v>23</v>
      </c>
      <c r="L38" s="117" t="s">
        <v>24</v>
      </c>
      <c r="M38" s="66">
        <v>137889</v>
      </c>
      <c r="N38" s="66">
        <v>3376</v>
      </c>
      <c r="O38" s="66">
        <v>46882</v>
      </c>
      <c r="P38" s="66">
        <v>184772</v>
      </c>
      <c r="Q38" s="67">
        <v>0.4</v>
      </c>
      <c r="R38" s="66">
        <v>73909</v>
      </c>
      <c r="S38" s="66">
        <v>258680</v>
      </c>
      <c r="T38" s="106">
        <f>IF(A38="Upgrade",IF(OR(H38=4,H38=5),_xlfn.XLOOKUP(I38,'Renewal Rates'!$A$22:$A$27,'Renewal Rates'!$B$22:$B$27,'Renewal Rates'!$B$27,0),'Renewal Rates'!$F$7),IF(A38="Renewal",100%,0%))</f>
        <v>2.6599999999999999E-2</v>
      </c>
      <c r="U38" s="68">
        <f t="shared" si="0"/>
        <v>6880.8879999999999</v>
      </c>
    </row>
    <row r="39" spans="1:21" s="41" customFormat="1" ht="13.8" x14ac:dyDescent="0.3">
      <c r="A39" s="115" t="s">
        <v>21</v>
      </c>
      <c r="B39" s="116">
        <v>3000158534</v>
      </c>
      <c r="C39" s="116">
        <v>2.008</v>
      </c>
      <c r="D39" s="117">
        <v>37.700000000000003</v>
      </c>
      <c r="E39" s="117"/>
      <c r="F39" s="117">
        <v>225</v>
      </c>
      <c r="G39" s="117">
        <v>525</v>
      </c>
      <c r="H39" s="123"/>
      <c r="I39" s="117" t="s">
        <v>122</v>
      </c>
      <c r="J39" s="115">
        <v>376</v>
      </c>
      <c r="K39" s="115" t="s">
        <v>23</v>
      </c>
      <c r="L39" s="117" t="s">
        <v>24</v>
      </c>
      <c r="M39" s="66">
        <v>115738</v>
      </c>
      <c r="N39" s="66">
        <v>3068</v>
      </c>
      <c r="O39" s="66">
        <v>39351</v>
      </c>
      <c r="P39" s="66">
        <v>155089</v>
      </c>
      <c r="Q39" s="67">
        <v>0.4</v>
      </c>
      <c r="R39" s="66">
        <v>62036</v>
      </c>
      <c r="S39" s="66">
        <v>217125</v>
      </c>
      <c r="T39" s="106">
        <f>IF(A39="Upgrade",IF(OR(H39=4,H39=5),_xlfn.XLOOKUP(I39,'Renewal Rates'!$A$22:$A$27,'Renewal Rates'!$B$22:$B$27,'Renewal Rates'!$B$27,0),'Renewal Rates'!$F$7),IF(A39="Renewal",100%,0%))</f>
        <v>2.6599999999999999E-2</v>
      </c>
      <c r="U39" s="68">
        <f t="shared" si="0"/>
        <v>5775.5249999999996</v>
      </c>
    </row>
    <row r="40" spans="1:21" s="41" customFormat="1" ht="13.8" x14ac:dyDescent="0.3">
      <c r="A40" s="115" t="s">
        <v>25</v>
      </c>
      <c r="B40" s="116" t="s">
        <v>22</v>
      </c>
      <c r="C40" s="116">
        <v>2.0009999999999999</v>
      </c>
      <c r="D40" s="117"/>
      <c r="E40" s="117">
        <v>111.5</v>
      </c>
      <c r="F40" s="117"/>
      <c r="G40" s="117">
        <v>525</v>
      </c>
      <c r="H40" s="123"/>
      <c r="I40" s="117" t="s">
        <v>122</v>
      </c>
      <c r="J40" s="115">
        <v>376</v>
      </c>
      <c r="K40" s="115" t="s">
        <v>23</v>
      </c>
      <c r="L40" s="117" t="s">
        <v>24</v>
      </c>
      <c r="M40" s="66">
        <v>334511</v>
      </c>
      <c r="N40" s="66">
        <v>3000</v>
      </c>
      <c r="O40" s="66">
        <v>113734</v>
      </c>
      <c r="P40" s="66">
        <v>448245</v>
      </c>
      <c r="Q40" s="67">
        <v>0.4</v>
      </c>
      <c r="R40" s="66">
        <v>179298</v>
      </c>
      <c r="S40" s="66">
        <v>627543</v>
      </c>
      <c r="T40" s="106">
        <f>IF(A40="Upgrade",IF(OR(H40=4,H40=5),_xlfn.XLOOKUP(I40,'Renewal Rates'!$A$22:$A$27,'Renewal Rates'!$B$22:$B$27,'Renewal Rates'!$B$27,0),'Renewal Rates'!$F$7),IF(A40="Renewal",100%,0%))</f>
        <v>0</v>
      </c>
      <c r="U40" s="68">
        <f t="shared" si="0"/>
        <v>0</v>
      </c>
    </row>
    <row r="41" spans="1:21" s="41" customFormat="1" ht="13.8" x14ac:dyDescent="0.3">
      <c r="A41" s="115" t="s">
        <v>25</v>
      </c>
      <c r="B41" s="116" t="s">
        <v>22</v>
      </c>
      <c r="C41" s="116">
        <v>2.004</v>
      </c>
      <c r="D41" s="117"/>
      <c r="E41" s="117">
        <v>107.8</v>
      </c>
      <c r="F41" s="117"/>
      <c r="G41" s="117">
        <v>525</v>
      </c>
      <c r="H41" s="123"/>
      <c r="I41" s="117" t="s">
        <v>122</v>
      </c>
      <c r="J41" s="115">
        <v>376</v>
      </c>
      <c r="K41" s="115" t="s">
        <v>23</v>
      </c>
      <c r="L41" s="117" t="s">
        <v>24</v>
      </c>
      <c r="M41" s="66">
        <v>347625</v>
      </c>
      <c r="N41" s="66">
        <v>3226</v>
      </c>
      <c r="O41" s="66">
        <v>118193</v>
      </c>
      <c r="P41" s="66">
        <v>465818</v>
      </c>
      <c r="Q41" s="67">
        <v>0.4</v>
      </c>
      <c r="R41" s="66">
        <v>186327</v>
      </c>
      <c r="S41" s="66">
        <v>652145</v>
      </c>
      <c r="T41" s="106">
        <f>IF(A41="Upgrade",IF(OR(H41=4,H41=5),_xlfn.XLOOKUP(I41,'Renewal Rates'!$A$22:$A$27,'Renewal Rates'!$B$22:$B$27,'Renewal Rates'!$B$27,0),'Renewal Rates'!$F$7),IF(A41="Renewal",100%,0%))</f>
        <v>0</v>
      </c>
      <c r="U41" s="68">
        <f t="shared" si="0"/>
        <v>0</v>
      </c>
    </row>
    <row r="42" spans="1:21" s="41" customFormat="1" ht="13.8" x14ac:dyDescent="0.3">
      <c r="A42" s="115" t="s">
        <v>25</v>
      </c>
      <c r="B42" s="116" t="s">
        <v>22</v>
      </c>
      <c r="C42" s="116">
        <v>2.0049999999999999</v>
      </c>
      <c r="D42" s="117"/>
      <c r="E42" s="117">
        <v>65.3</v>
      </c>
      <c r="F42" s="117"/>
      <c r="G42" s="117">
        <v>450</v>
      </c>
      <c r="H42" s="123"/>
      <c r="I42" s="117" t="s">
        <v>122</v>
      </c>
      <c r="J42" s="115">
        <v>376</v>
      </c>
      <c r="K42" s="115" t="s">
        <v>23</v>
      </c>
      <c r="L42" s="117" t="s">
        <v>24</v>
      </c>
      <c r="M42" s="66">
        <v>188030</v>
      </c>
      <c r="N42" s="66">
        <v>2879</v>
      </c>
      <c r="O42" s="66">
        <v>63930</v>
      </c>
      <c r="P42" s="66">
        <v>251960</v>
      </c>
      <c r="Q42" s="67">
        <v>0.4</v>
      </c>
      <c r="R42" s="66">
        <v>100784</v>
      </c>
      <c r="S42" s="66">
        <v>352744</v>
      </c>
      <c r="T42" s="106">
        <f>IF(A42="Upgrade",IF(OR(H42=4,H42=5),_xlfn.XLOOKUP(I42,'Renewal Rates'!$A$22:$A$27,'Renewal Rates'!$B$22:$B$27,'Renewal Rates'!$B$27,0),'Renewal Rates'!$F$7),IF(A42="Renewal",100%,0%))</f>
        <v>0</v>
      </c>
      <c r="U42" s="68">
        <f t="shared" si="0"/>
        <v>0</v>
      </c>
    </row>
    <row r="43" spans="1:21" s="41" customFormat="1" ht="13.8" x14ac:dyDescent="0.3">
      <c r="A43" s="115" t="s">
        <v>25</v>
      </c>
      <c r="B43" s="116" t="s">
        <v>22</v>
      </c>
      <c r="C43" s="116">
        <v>2.0059999999999998</v>
      </c>
      <c r="D43" s="117"/>
      <c r="E43" s="117">
        <v>96.7</v>
      </c>
      <c r="F43" s="117"/>
      <c r="G43" s="117">
        <v>525</v>
      </c>
      <c r="H43" s="123"/>
      <c r="I43" s="117" t="s">
        <v>122</v>
      </c>
      <c r="J43" s="115">
        <v>376</v>
      </c>
      <c r="K43" s="115" t="s">
        <v>23</v>
      </c>
      <c r="L43" s="117" t="s">
        <v>24</v>
      </c>
      <c r="M43" s="66">
        <v>283236</v>
      </c>
      <c r="N43" s="66">
        <v>2930</v>
      </c>
      <c r="O43" s="66">
        <v>96300</v>
      </c>
      <c r="P43" s="66">
        <v>379537</v>
      </c>
      <c r="Q43" s="67">
        <v>0.4</v>
      </c>
      <c r="R43" s="66">
        <v>151815</v>
      </c>
      <c r="S43" s="66">
        <v>531351</v>
      </c>
      <c r="T43" s="106">
        <f>IF(A43="Upgrade",IF(OR(H43=4,H43=5),_xlfn.XLOOKUP(I43,'Renewal Rates'!$A$22:$A$27,'Renewal Rates'!$B$22:$B$27,'Renewal Rates'!$B$27,0),'Renewal Rates'!$F$7),IF(A43="Renewal",100%,0%))</f>
        <v>0</v>
      </c>
      <c r="U43" s="68">
        <f t="shared" si="0"/>
        <v>0</v>
      </c>
    </row>
    <row r="44" spans="1:21" s="41" customFormat="1" ht="13.8" x14ac:dyDescent="0.3">
      <c r="A44" s="115" t="s">
        <v>21</v>
      </c>
      <c r="B44" s="116">
        <v>2000180612</v>
      </c>
      <c r="C44" s="116">
        <v>3.0049999999999999</v>
      </c>
      <c r="D44" s="117">
        <v>27.3</v>
      </c>
      <c r="E44" s="117"/>
      <c r="F44" s="117">
        <v>300</v>
      </c>
      <c r="G44" s="117">
        <v>675</v>
      </c>
      <c r="H44" s="123"/>
      <c r="I44" s="117" t="s">
        <v>122</v>
      </c>
      <c r="J44" s="115">
        <v>374</v>
      </c>
      <c r="K44" s="115" t="s">
        <v>23</v>
      </c>
      <c r="L44" s="117" t="s">
        <v>24</v>
      </c>
      <c r="M44" s="66">
        <v>144954</v>
      </c>
      <c r="N44" s="66">
        <v>5309</v>
      </c>
      <c r="O44" s="66">
        <v>49284</v>
      </c>
      <c r="P44" s="66">
        <v>194238</v>
      </c>
      <c r="Q44" s="67">
        <v>0.4</v>
      </c>
      <c r="R44" s="66">
        <v>77695</v>
      </c>
      <c r="S44" s="66">
        <v>271933</v>
      </c>
      <c r="T44" s="106">
        <f>IF(A44="Upgrade",IF(OR(H44=4,H44=5),_xlfn.XLOOKUP(I44,'Renewal Rates'!$A$22:$A$27,'Renewal Rates'!$B$22:$B$27,'Renewal Rates'!$B$27,0),'Renewal Rates'!$F$7),IF(A44="Renewal",100%,0%))</f>
        <v>2.6599999999999999E-2</v>
      </c>
      <c r="U44" s="68">
        <f t="shared" si="0"/>
        <v>7233.4177999999993</v>
      </c>
    </row>
    <row r="45" spans="1:21" s="41" customFormat="1" ht="13.8" x14ac:dyDescent="0.3">
      <c r="A45" s="115" t="s">
        <v>21</v>
      </c>
      <c r="B45" s="116">
        <v>2000282982</v>
      </c>
      <c r="C45" s="116">
        <v>3.0049999999999999</v>
      </c>
      <c r="D45" s="117">
        <v>23.5</v>
      </c>
      <c r="E45" s="117"/>
      <c r="F45" s="117">
        <v>525</v>
      </c>
      <c r="G45" s="117">
        <v>675</v>
      </c>
      <c r="H45" s="123">
        <v>4</v>
      </c>
      <c r="I45" s="117">
        <v>2</v>
      </c>
      <c r="J45" s="115">
        <v>374</v>
      </c>
      <c r="K45" s="115" t="s">
        <v>23</v>
      </c>
      <c r="L45" s="117" t="s">
        <v>24</v>
      </c>
      <c r="M45" s="66">
        <v>116980</v>
      </c>
      <c r="N45" s="66">
        <v>4982</v>
      </c>
      <c r="O45" s="66">
        <v>39773</v>
      </c>
      <c r="P45" s="66">
        <v>156753</v>
      </c>
      <c r="Q45" s="67">
        <v>0.4</v>
      </c>
      <c r="R45" s="66">
        <v>62701</v>
      </c>
      <c r="S45" s="66">
        <v>219455</v>
      </c>
      <c r="T45" s="106">
        <f>IF(A45="Upgrade",IF(OR(H45=4,H45=5),_xlfn.XLOOKUP(I45,'Renewal Rates'!$A$22:$A$27,'Renewal Rates'!$B$22:$B$27,'Renewal Rates'!$B$27,0),'Renewal Rates'!$F$7),IF(A45="Renewal",100%,0%))</f>
        <v>0</v>
      </c>
      <c r="U45" s="68">
        <f t="shared" si="0"/>
        <v>0</v>
      </c>
    </row>
    <row r="46" spans="1:21" s="41" customFormat="1" ht="13.8" x14ac:dyDescent="0.3">
      <c r="A46" s="115" t="s">
        <v>21</v>
      </c>
      <c r="B46" s="116">
        <v>2000316861</v>
      </c>
      <c r="C46" s="116">
        <v>3.0059999999999998</v>
      </c>
      <c r="D46" s="117">
        <v>45.8</v>
      </c>
      <c r="E46" s="117"/>
      <c r="F46" s="117">
        <v>525</v>
      </c>
      <c r="G46" s="117">
        <v>750</v>
      </c>
      <c r="H46" s="123"/>
      <c r="I46" s="117" t="s">
        <v>122</v>
      </c>
      <c r="J46" s="115">
        <v>374</v>
      </c>
      <c r="K46" s="115" t="s">
        <v>23</v>
      </c>
      <c r="L46" s="117" t="s">
        <v>24</v>
      </c>
      <c r="M46" s="66">
        <v>189607</v>
      </c>
      <c r="N46" s="66">
        <v>4138</v>
      </c>
      <c r="O46" s="66">
        <v>64467</v>
      </c>
      <c r="P46" s="66">
        <v>254074</v>
      </c>
      <c r="Q46" s="67">
        <v>0.4</v>
      </c>
      <c r="R46" s="66">
        <v>101630</v>
      </c>
      <c r="S46" s="66">
        <v>355703</v>
      </c>
      <c r="T46" s="106">
        <f>IF(A46="Upgrade",IF(OR(H46=4,H46=5),_xlfn.XLOOKUP(I46,'Renewal Rates'!$A$22:$A$27,'Renewal Rates'!$B$22:$B$27,'Renewal Rates'!$B$27,0),'Renewal Rates'!$F$7),IF(A46="Renewal",100%,0%))</f>
        <v>2.6599999999999999E-2</v>
      </c>
      <c r="U46" s="68">
        <f t="shared" si="0"/>
        <v>9461.6998000000003</v>
      </c>
    </row>
    <row r="47" spans="1:21" s="41" customFormat="1" ht="13.8" x14ac:dyDescent="0.3">
      <c r="A47" s="115" t="s">
        <v>21</v>
      </c>
      <c r="B47" s="116">
        <v>2000702104</v>
      </c>
      <c r="C47" s="116">
        <v>3.0059999999999998</v>
      </c>
      <c r="D47" s="117">
        <v>9.4</v>
      </c>
      <c r="E47" s="117"/>
      <c r="F47" s="117">
        <v>525</v>
      </c>
      <c r="G47" s="117">
        <v>750</v>
      </c>
      <c r="H47" s="123"/>
      <c r="I47" s="117" t="s">
        <v>122</v>
      </c>
      <c r="J47" s="115">
        <v>374</v>
      </c>
      <c r="K47" s="115" t="s">
        <v>23</v>
      </c>
      <c r="L47" s="117" t="s">
        <v>24</v>
      </c>
      <c r="M47" s="66">
        <v>62284</v>
      </c>
      <c r="N47" s="66">
        <v>6649</v>
      </c>
      <c r="O47" s="66">
        <v>21176</v>
      </c>
      <c r="P47" s="66">
        <v>83460</v>
      </c>
      <c r="Q47" s="67">
        <v>0.4</v>
      </c>
      <c r="R47" s="66">
        <v>33384</v>
      </c>
      <c r="S47" s="66">
        <v>116844</v>
      </c>
      <c r="T47" s="106">
        <f>IF(A47="Upgrade",IF(OR(H47=4,H47=5),_xlfn.XLOOKUP(I47,'Renewal Rates'!$A$22:$A$27,'Renewal Rates'!$B$22:$B$27,'Renewal Rates'!$B$27,0),'Renewal Rates'!$F$7),IF(A47="Renewal",100%,0%))</f>
        <v>2.6599999999999999E-2</v>
      </c>
      <c r="U47" s="68">
        <f t="shared" si="0"/>
        <v>3108.0503999999996</v>
      </c>
    </row>
    <row r="48" spans="1:21" s="41" customFormat="1" ht="13.8" x14ac:dyDescent="0.3">
      <c r="A48" s="115" t="s">
        <v>21</v>
      </c>
      <c r="B48" s="116">
        <v>2000291600</v>
      </c>
      <c r="C48" s="116">
        <v>3.0059999999999998</v>
      </c>
      <c r="D48" s="117">
        <v>94.1</v>
      </c>
      <c r="E48" s="117"/>
      <c r="F48" s="117">
        <v>525</v>
      </c>
      <c r="G48" s="117">
        <v>750</v>
      </c>
      <c r="H48" s="123"/>
      <c r="I48" s="117" t="s">
        <v>122</v>
      </c>
      <c r="J48" s="115">
        <v>374</v>
      </c>
      <c r="K48" s="115" t="s">
        <v>23</v>
      </c>
      <c r="L48" s="117" t="s">
        <v>24</v>
      </c>
      <c r="M48" s="66">
        <v>376957</v>
      </c>
      <c r="N48" s="66">
        <v>4005</v>
      </c>
      <c r="O48" s="66">
        <v>128166</v>
      </c>
      <c r="P48" s="66">
        <v>505123</v>
      </c>
      <c r="Q48" s="67">
        <v>0.4</v>
      </c>
      <c r="R48" s="66">
        <v>202049</v>
      </c>
      <c r="S48" s="66">
        <v>707172</v>
      </c>
      <c r="T48" s="106">
        <f>IF(A48="Upgrade",IF(OR(H48=4,H48=5),_xlfn.XLOOKUP(I48,'Renewal Rates'!$A$22:$A$27,'Renewal Rates'!$B$22:$B$27,'Renewal Rates'!$B$27,0),'Renewal Rates'!$F$7),IF(A48="Renewal",100%,0%))</f>
        <v>2.6599999999999999E-2</v>
      </c>
      <c r="U48" s="68">
        <f t="shared" si="0"/>
        <v>18810.7752</v>
      </c>
    </row>
    <row r="49" spans="1:21" s="41" customFormat="1" ht="13.8" x14ac:dyDescent="0.3">
      <c r="A49" s="115" t="s">
        <v>21</v>
      </c>
      <c r="B49" s="116">
        <v>3000092634</v>
      </c>
      <c r="C49" s="116">
        <v>3.0070000000000001</v>
      </c>
      <c r="D49" s="117">
        <v>6.4</v>
      </c>
      <c r="E49" s="117"/>
      <c r="F49" s="117">
        <v>525</v>
      </c>
      <c r="G49" s="117">
        <v>750</v>
      </c>
      <c r="H49" s="123"/>
      <c r="I49" s="117" t="s">
        <v>122</v>
      </c>
      <c r="J49" s="115">
        <v>374</v>
      </c>
      <c r="K49" s="115" t="s">
        <v>23</v>
      </c>
      <c r="L49" s="117" t="s">
        <v>24</v>
      </c>
      <c r="M49" s="66">
        <v>58251</v>
      </c>
      <c r="N49" s="66">
        <v>9099</v>
      </c>
      <c r="O49" s="66">
        <v>19805</v>
      </c>
      <c r="P49" s="66">
        <v>78056</v>
      </c>
      <c r="Q49" s="67">
        <v>0.4</v>
      </c>
      <c r="R49" s="66">
        <v>31223</v>
      </c>
      <c r="S49" s="66">
        <v>109279</v>
      </c>
      <c r="T49" s="106">
        <f>IF(A49="Upgrade",IF(OR(H49=4,H49=5),_xlfn.XLOOKUP(I49,'Renewal Rates'!$A$22:$A$27,'Renewal Rates'!$B$22:$B$27,'Renewal Rates'!$B$27,0),'Renewal Rates'!$F$7),IF(A49="Renewal",100%,0%))</f>
        <v>2.6599999999999999E-2</v>
      </c>
      <c r="U49" s="68">
        <f t="shared" si="0"/>
        <v>2906.8213999999998</v>
      </c>
    </row>
    <row r="50" spans="1:21" s="41" customFormat="1" ht="13.8" x14ac:dyDescent="0.3">
      <c r="A50" s="115" t="s">
        <v>21</v>
      </c>
      <c r="B50" s="116">
        <v>3000103017</v>
      </c>
      <c r="C50" s="116">
        <v>3.0070000000000001</v>
      </c>
      <c r="D50" s="117">
        <v>50.5</v>
      </c>
      <c r="E50" s="117"/>
      <c r="F50" s="117">
        <v>525</v>
      </c>
      <c r="G50" s="117">
        <v>750</v>
      </c>
      <c r="H50" s="123">
        <v>5</v>
      </c>
      <c r="I50" s="117">
        <v>5</v>
      </c>
      <c r="J50" s="115">
        <v>374</v>
      </c>
      <c r="K50" s="115" t="s">
        <v>23</v>
      </c>
      <c r="L50" s="117" t="s">
        <v>24</v>
      </c>
      <c r="M50" s="66">
        <v>239838</v>
      </c>
      <c r="N50" s="66">
        <v>4753</v>
      </c>
      <c r="O50" s="66">
        <v>81545</v>
      </c>
      <c r="P50" s="66">
        <v>321383</v>
      </c>
      <c r="Q50" s="67">
        <v>0.4</v>
      </c>
      <c r="R50" s="66">
        <v>128553</v>
      </c>
      <c r="S50" s="66">
        <v>449936</v>
      </c>
      <c r="T50" s="106">
        <f>IF(A50="Upgrade",IF(OR(H50=4,H50=5),_xlfn.XLOOKUP(I50,'Renewal Rates'!$A$22:$A$27,'Renewal Rates'!$B$22:$B$27,'Renewal Rates'!$B$27,0),'Renewal Rates'!$F$7),IF(A50="Renewal",100%,0%))</f>
        <v>0.7</v>
      </c>
      <c r="U50" s="68">
        <f t="shared" si="0"/>
        <v>314955.19999999995</v>
      </c>
    </row>
    <row r="51" spans="1:21" s="41" customFormat="1" ht="13.8" x14ac:dyDescent="0.3">
      <c r="A51" s="115" t="s">
        <v>21</v>
      </c>
      <c r="B51" s="116">
        <v>2000423547</v>
      </c>
      <c r="C51" s="116">
        <v>3.004</v>
      </c>
      <c r="D51" s="117">
        <v>33.6</v>
      </c>
      <c r="E51" s="117"/>
      <c r="F51" s="117">
        <v>1200</v>
      </c>
      <c r="G51" s="117">
        <v>2400</v>
      </c>
      <c r="H51" s="123">
        <v>5</v>
      </c>
      <c r="I51" s="117">
        <v>2</v>
      </c>
      <c r="J51" s="115">
        <v>375</v>
      </c>
      <c r="K51" s="115" t="s">
        <v>23</v>
      </c>
      <c r="L51" s="117" t="s">
        <v>24</v>
      </c>
      <c r="M51" s="66">
        <v>511718</v>
      </c>
      <c r="N51" s="66">
        <v>15223</v>
      </c>
      <c r="O51" s="66">
        <v>173984</v>
      </c>
      <c r="P51" s="66">
        <v>685702</v>
      </c>
      <c r="Q51" s="67">
        <v>0.4</v>
      </c>
      <c r="R51" s="66">
        <v>274281</v>
      </c>
      <c r="S51" s="66">
        <v>959982</v>
      </c>
      <c r="T51" s="106">
        <f>IF(A51="Upgrade",IF(OR(H51=4,H51=5),_xlfn.XLOOKUP(I51,'Renewal Rates'!$A$22:$A$27,'Renewal Rates'!$B$22:$B$27,'Renewal Rates'!$B$27,0),'Renewal Rates'!$F$7),IF(A51="Renewal",100%,0%))</f>
        <v>0</v>
      </c>
      <c r="U51" s="68">
        <f t="shared" si="0"/>
        <v>0</v>
      </c>
    </row>
    <row r="52" spans="1:21" s="41" customFormat="1" ht="13.8" x14ac:dyDescent="0.3">
      <c r="A52" s="115" t="s">
        <v>21</v>
      </c>
      <c r="B52" s="116">
        <v>2000322715</v>
      </c>
      <c r="C52" s="116">
        <v>3.004</v>
      </c>
      <c r="D52" s="117">
        <v>62.1</v>
      </c>
      <c r="E52" s="117"/>
      <c r="F52" s="117">
        <v>1650</v>
      </c>
      <c r="G52" s="117">
        <v>2400</v>
      </c>
      <c r="H52" s="123">
        <v>5</v>
      </c>
      <c r="I52" s="117">
        <v>2</v>
      </c>
      <c r="J52" s="115">
        <v>375</v>
      </c>
      <c r="K52" s="115" t="s">
        <v>23</v>
      </c>
      <c r="L52" s="117" t="s">
        <v>24</v>
      </c>
      <c r="M52" s="66">
        <v>923324</v>
      </c>
      <c r="N52" s="66">
        <v>14857</v>
      </c>
      <c r="O52" s="66">
        <v>313930</v>
      </c>
      <c r="P52" s="66">
        <v>1237254</v>
      </c>
      <c r="Q52" s="67">
        <v>0.4</v>
      </c>
      <c r="R52" s="66">
        <v>494902</v>
      </c>
      <c r="S52" s="66">
        <v>1732156</v>
      </c>
      <c r="T52" s="106">
        <f>IF(A52="Upgrade",IF(OR(H52=4,H52=5),_xlfn.XLOOKUP(I52,'Renewal Rates'!$A$22:$A$27,'Renewal Rates'!$B$22:$B$27,'Renewal Rates'!$B$27,0),'Renewal Rates'!$F$7),IF(A52="Renewal",100%,0%))</f>
        <v>0</v>
      </c>
      <c r="U52" s="68">
        <f t="shared" si="0"/>
        <v>0</v>
      </c>
    </row>
    <row r="53" spans="1:21" s="41" customFormat="1" ht="13.8" x14ac:dyDescent="0.3">
      <c r="A53" s="115" t="s">
        <v>21</v>
      </c>
      <c r="B53" s="116">
        <v>2000042049</v>
      </c>
      <c r="C53" s="116">
        <v>3.0019999999999998</v>
      </c>
      <c r="D53" s="117">
        <v>91.9</v>
      </c>
      <c r="E53" s="117"/>
      <c r="F53" s="117">
        <v>375</v>
      </c>
      <c r="G53" s="117">
        <v>750</v>
      </c>
      <c r="H53" s="123"/>
      <c r="I53" s="117" t="s">
        <v>122</v>
      </c>
      <c r="J53" s="115">
        <v>375</v>
      </c>
      <c r="K53" s="115" t="s">
        <v>23</v>
      </c>
      <c r="L53" s="117" t="s">
        <v>24</v>
      </c>
      <c r="M53" s="66">
        <v>373948</v>
      </c>
      <c r="N53" s="66">
        <v>4069</v>
      </c>
      <c r="O53" s="66">
        <v>127142</v>
      </c>
      <c r="P53" s="66">
        <v>501091</v>
      </c>
      <c r="Q53" s="67">
        <v>0.4</v>
      </c>
      <c r="R53" s="66">
        <v>200436</v>
      </c>
      <c r="S53" s="66">
        <v>701527</v>
      </c>
      <c r="T53" s="106">
        <f>IF(A53="Upgrade",IF(OR(H53=4,H53=5),_xlfn.XLOOKUP(I53,'Renewal Rates'!$A$22:$A$27,'Renewal Rates'!$B$22:$B$27,'Renewal Rates'!$B$27,0),'Renewal Rates'!$F$7),IF(A53="Renewal",100%,0%))</f>
        <v>2.6599999999999999E-2</v>
      </c>
      <c r="U53" s="68">
        <f t="shared" si="0"/>
        <v>18660.618200000001</v>
      </c>
    </row>
    <row r="54" spans="1:21" s="41" customFormat="1" ht="13.8" x14ac:dyDescent="0.3">
      <c r="A54" s="115" t="s">
        <v>21</v>
      </c>
      <c r="B54" s="116">
        <v>3000127504</v>
      </c>
      <c r="C54" s="116">
        <v>3.0030000000000001</v>
      </c>
      <c r="D54" s="117">
        <v>19.899999999999999</v>
      </c>
      <c r="E54" s="117"/>
      <c r="F54" s="117">
        <v>300</v>
      </c>
      <c r="G54" s="117">
        <v>525</v>
      </c>
      <c r="H54" s="123"/>
      <c r="I54" s="117" t="s">
        <v>122</v>
      </c>
      <c r="J54" s="115">
        <v>375</v>
      </c>
      <c r="K54" s="115" t="s">
        <v>23</v>
      </c>
      <c r="L54" s="117" t="s">
        <v>24</v>
      </c>
      <c r="M54" s="66">
        <v>80697</v>
      </c>
      <c r="N54" s="66">
        <v>4064</v>
      </c>
      <c r="O54" s="66">
        <v>27437</v>
      </c>
      <c r="P54" s="66">
        <v>108134</v>
      </c>
      <c r="Q54" s="67">
        <v>0.4</v>
      </c>
      <c r="R54" s="66">
        <v>43254</v>
      </c>
      <c r="S54" s="66">
        <v>151388</v>
      </c>
      <c r="T54" s="106">
        <f>IF(A54="Upgrade",IF(OR(H54=4,H54=5),_xlfn.XLOOKUP(I54,'Renewal Rates'!$A$22:$A$27,'Renewal Rates'!$B$22:$B$27,'Renewal Rates'!$B$27,0),'Renewal Rates'!$F$7),IF(A54="Renewal",100%,0%))</f>
        <v>2.6599999999999999E-2</v>
      </c>
      <c r="U54" s="68">
        <f t="shared" si="0"/>
        <v>4026.9207999999999</v>
      </c>
    </row>
    <row r="55" spans="1:21" s="41" customFormat="1" ht="13.8" x14ac:dyDescent="0.3">
      <c r="A55" s="115" t="s">
        <v>21</v>
      </c>
      <c r="B55" s="116">
        <v>2000655520</v>
      </c>
      <c r="C55" s="116">
        <v>3.0030000000000001</v>
      </c>
      <c r="D55" s="117">
        <v>39.299999999999997</v>
      </c>
      <c r="E55" s="117"/>
      <c r="F55" s="117">
        <v>300</v>
      </c>
      <c r="G55" s="117">
        <v>525</v>
      </c>
      <c r="H55" s="123"/>
      <c r="I55" s="117" t="s">
        <v>122</v>
      </c>
      <c r="J55" s="115">
        <v>375</v>
      </c>
      <c r="K55" s="115" t="s">
        <v>23</v>
      </c>
      <c r="L55" s="117" t="s">
        <v>24</v>
      </c>
      <c r="M55" s="66">
        <v>136550</v>
      </c>
      <c r="N55" s="66">
        <v>3474</v>
      </c>
      <c r="O55" s="66">
        <v>46427</v>
      </c>
      <c r="P55" s="66">
        <v>182976</v>
      </c>
      <c r="Q55" s="67">
        <v>0.4</v>
      </c>
      <c r="R55" s="66">
        <v>73191</v>
      </c>
      <c r="S55" s="66">
        <v>256167</v>
      </c>
      <c r="T55" s="106">
        <f>IF(A55="Upgrade",IF(OR(H55=4,H55=5),_xlfn.XLOOKUP(I55,'Renewal Rates'!$A$22:$A$27,'Renewal Rates'!$B$22:$B$27,'Renewal Rates'!$B$27,0),'Renewal Rates'!$F$7),IF(A55="Renewal",100%,0%))</f>
        <v>2.6599999999999999E-2</v>
      </c>
      <c r="U55" s="68">
        <f t="shared" si="0"/>
        <v>6814.0421999999999</v>
      </c>
    </row>
    <row r="56" spans="1:21" s="41" customFormat="1" ht="13.8" x14ac:dyDescent="0.3">
      <c r="A56" s="115" t="s">
        <v>21</v>
      </c>
      <c r="B56" s="116">
        <v>2000716380</v>
      </c>
      <c r="C56" s="116">
        <v>4.0380000000000003</v>
      </c>
      <c r="D56" s="117">
        <v>77.599999999999994</v>
      </c>
      <c r="E56" s="117"/>
      <c r="F56" s="117">
        <v>300</v>
      </c>
      <c r="G56" s="117">
        <v>675</v>
      </c>
      <c r="H56" s="123"/>
      <c r="I56" s="117" t="s">
        <v>122</v>
      </c>
      <c r="J56" s="115">
        <v>375</v>
      </c>
      <c r="K56" s="115" t="s">
        <v>23</v>
      </c>
      <c r="L56" s="117" t="s">
        <v>24</v>
      </c>
      <c r="M56" s="66">
        <v>257120</v>
      </c>
      <c r="N56" s="66">
        <v>3312</v>
      </c>
      <c r="O56" s="66">
        <v>87421</v>
      </c>
      <c r="P56" s="66">
        <v>344540</v>
      </c>
      <c r="Q56" s="67">
        <v>0.4</v>
      </c>
      <c r="R56" s="66">
        <v>137816</v>
      </c>
      <c r="S56" s="66">
        <v>482356</v>
      </c>
      <c r="T56" s="106">
        <f>IF(A56="Upgrade",IF(OR(H56=4,H56=5),_xlfn.XLOOKUP(I56,'Renewal Rates'!$A$22:$A$27,'Renewal Rates'!$B$22:$B$27,'Renewal Rates'!$B$27,0),'Renewal Rates'!$F$7),IF(A56="Renewal",100%,0%))</f>
        <v>2.6599999999999999E-2</v>
      </c>
      <c r="U56" s="68">
        <f t="shared" si="0"/>
        <v>12830.669599999999</v>
      </c>
    </row>
    <row r="57" spans="1:21" s="41" customFormat="1" ht="13.8" x14ac:dyDescent="0.3">
      <c r="A57" s="115" t="s">
        <v>25</v>
      </c>
      <c r="B57" s="116" t="s">
        <v>22</v>
      </c>
      <c r="C57" s="116">
        <v>4.0010000000000003</v>
      </c>
      <c r="D57" s="117"/>
      <c r="E57" s="117">
        <v>66.900000000000006</v>
      </c>
      <c r="F57" s="117"/>
      <c r="G57" s="117">
        <v>300</v>
      </c>
      <c r="H57" s="123"/>
      <c r="I57" s="117" t="s">
        <v>122</v>
      </c>
      <c r="J57" s="115">
        <v>374</v>
      </c>
      <c r="K57" s="115" t="s">
        <v>23</v>
      </c>
      <c r="L57" s="117" t="s">
        <v>24</v>
      </c>
      <c r="M57" s="66">
        <v>144368</v>
      </c>
      <c r="N57" s="66">
        <v>2159</v>
      </c>
      <c r="O57" s="66">
        <v>49085</v>
      </c>
      <c r="P57" s="66">
        <v>193453</v>
      </c>
      <c r="Q57" s="67">
        <v>0.4</v>
      </c>
      <c r="R57" s="66">
        <v>77381</v>
      </c>
      <c r="S57" s="66">
        <v>270835</v>
      </c>
      <c r="T57" s="106">
        <f>IF(A57="Upgrade",IF(OR(H57=4,H57=5),_xlfn.XLOOKUP(I57,'Renewal Rates'!$A$22:$A$27,'Renewal Rates'!$B$22:$B$27,'Renewal Rates'!$B$27,0),'Renewal Rates'!$F$7),IF(A57="Renewal",100%,0%))</f>
        <v>0</v>
      </c>
      <c r="U57" s="68">
        <f t="shared" si="0"/>
        <v>0</v>
      </c>
    </row>
    <row r="58" spans="1:21" s="41" customFormat="1" ht="13.8" x14ac:dyDescent="0.3">
      <c r="A58" s="115" t="s">
        <v>21</v>
      </c>
      <c r="B58" s="116">
        <v>2000703577</v>
      </c>
      <c r="C58" s="116">
        <v>3.008</v>
      </c>
      <c r="D58" s="117">
        <v>22.6</v>
      </c>
      <c r="E58" s="117"/>
      <c r="F58" s="117">
        <v>900</v>
      </c>
      <c r="G58" s="117">
        <v>1650</v>
      </c>
      <c r="H58" s="123">
        <v>4</v>
      </c>
      <c r="I58" s="117">
        <v>2</v>
      </c>
      <c r="J58" s="115">
        <v>374</v>
      </c>
      <c r="K58" s="115" t="s">
        <v>23</v>
      </c>
      <c r="L58" s="117" t="s">
        <v>24</v>
      </c>
      <c r="M58" s="66">
        <v>214053</v>
      </c>
      <c r="N58" s="66">
        <v>9465</v>
      </c>
      <c r="O58" s="66">
        <v>72778</v>
      </c>
      <c r="P58" s="66">
        <v>286830</v>
      </c>
      <c r="Q58" s="67">
        <v>0.4</v>
      </c>
      <c r="R58" s="66">
        <v>114732</v>
      </c>
      <c r="S58" s="66">
        <v>401563</v>
      </c>
      <c r="T58" s="106">
        <f>IF(A58="Upgrade",IF(OR(H58=4,H58=5),_xlfn.XLOOKUP(I58,'Renewal Rates'!$A$22:$A$27,'Renewal Rates'!$B$22:$B$27,'Renewal Rates'!$B$27,0),'Renewal Rates'!$F$7),IF(A58="Renewal",100%,0%))</f>
        <v>0</v>
      </c>
      <c r="U58" s="68">
        <f t="shared" si="0"/>
        <v>0</v>
      </c>
    </row>
    <row r="59" spans="1:21" s="41" customFormat="1" ht="13.8" x14ac:dyDescent="0.3">
      <c r="A59" s="115" t="s">
        <v>21</v>
      </c>
      <c r="B59" s="116">
        <v>2000775576</v>
      </c>
      <c r="C59" s="116">
        <v>3.008</v>
      </c>
      <c r="D59" s="117">
        <v>62</v>
      </c>
      <c r="E59" s="117"/>
      <c r="F59" s="117">
        <v>900</v>
      </c>
      <c r="G59" s="117">
        <v>1650</v>
      </c>
      <c r="H59" s="123"/>
      <c r="I59" s="117" t="s">
        <v>122</v>
      </c>
      <c r="J59" s="115">
        <v>374</v>
      </c>
      <c r="K59" s="115" t="s">
        <v>23</v>
      </c>
      <c r="L59" s="117" t="s">
        <v>24</v>
      </c>
      <c r="M59" s="66">
        <v>570190</v>
      </c>
      <c r="N59" s="66">
        <v>9197</v>
      </c>
      <c r="O59" s="66">
        <v>193865</v>
      </c>
      <c r="P59" s="66">
        <v>764055</v>
      </c>
      <c r="Q59" s="67">
        <v>0.4</v>
      </c>
      <c r="R59" s="66">
        <v>305622</v>
      </c>
      <c r="S59" s="66">
        <v>1069677</v>
      </c>
      <c r="T59" s="106">
        <f>IF(A59="Upgrade",IF(OR(H59=4,H59=5),_xlfn.XLOOKUP(I59,'Renewal Rates'!$A$22:$A$27,'Renewal Rates'!$B$22:$B$27,'Renewal Rates'!$B$27,0),'Renewal Rates'!$F$7),IF(A59="Renewal",100%,0%))</f>
        <v>2.6599999999999999E-2</v>
      </c>
      <c r="U59" s="68">
        <f t="shared" si="0"/>
        <v>28453.408199999998</v>
      </c>
    </row>
    <row r="60" spans="1:21" s="41" customFormat="1" ht="13.8" x14ac:dyDescent="0.3">
      <c r="A60" s="115" t="s">
        <v>21</v>
      </c>
      <c r="B60" s="116">
        <v>2000974569</v>
      </c>
      <c r="C60" s="116">
        <v>4.0259999999999998</v>
      </c>
      <c r="D60" s="117">
        <v>31.6</v>
      </c>
      <c r="E60" s="117"/>
      <c r="F60" s="117">
        <v>900</v>
      </c>
      <c r="G60" s="117">
        <v>1500</v>
      </c>
      <c r="H60" s="123"/>
      <c r="I60" s="117" t="s">
        <v>122</v>
      </c>
      <c r="J60" s="115">
        <v>374</v>
      </c>
      <c r="K60" s="115" t="s">
        <v>23</v>
      </c>
      <c r="L60" s="117" t="s">
        <v>24</v>
      </c>
      <c r="M60" s="66">
        <v>279793</v>
      </c>
      <c r="N60" s="66">
        <v>8858</v>
      </c>
      <c r="O60" s="66">
        <v>95129</v>
      </c>
      <c r="P60" s="66">
        <v>374922</v>
      </c>
      <c r="Q60" s="67">
        <v>0.4</v>
      </c>
      <c r="R60" s="66">
        <v>149969</v>
      </c>
      <c r="S60" s="66">
        <v>524891</v>
      </c>
      <c r="T60" s="106">
        <f>IF(A60="Upgrade",IF(OR(H60=4,H60=5),_xlfn.XLOOKUP(I60,'Renewal Rates'!$A$22:$A$27,'Renewal Rates'!$B$22:$B$27,'Renewal Rates'!$B$27,0),'Renewal Rates'!$F$7),IF(A60="Renewal",100%,0%))</f>
        <v>2.6599999999999999E-2</v>
      </c>
      <c r="U60" s="68">
        <f t="shared" si="0"/>
        <v>13962.1006</v>
      </c>
    </row>
    <row r="61" spans="1:21" s="41" customFormat="1" ht="13.8" x14ac:dyDescent="0.3">
      <c r="A61" s="115" t="s">
        <v>21</v>
      </c>
      <c r="B61" s="116">
        <v>2000504202</v>
      </c>
      <c r="C61" s="116">
        <v>4.0250000000000004</v>
      </c>
      <c r="D61" s="117">
        <v>6.7</v>
      </c>
      <c r="E61" s="117"/>
      <c r="F61" s="117">
        <v>450</v>
      </c>
      <c r="G61" s="117">
        <v>675</v>
      </c>
      <c r="H61" s="123"/>
      <c r="I61" s="117" t="s">
        <v>122</v>
      </c>
      <c r="J61" s="115">
        <v>374</v>
      </c>
      <c r="K61" s="115" t="s">
        <v>23</v>
      </c>
      <c r="L61" s="117" t="s">
        <v>24</v>
      </c>
      <c r="M61" s="66">
        <v>58039</v>
      </c>
      <c r="N61" s="66">
        <v>8652</v>
      </c>
      <c r="O61" s="66">
        <v>19733</v>
      </c>
      <c r="P61" s="66">
        <v>77773</v>
      </c>
      <c r="Q61" s="67">
        <v>0.4</v>
      </c>
      <c r="R61" s="66">
        <v>31109</v>
      </c>
      <c r="S61" s="66">
        <v>108882</v>
      </c>
      <c r="T61" s="106">
        <f>IF(A61="Upgrade",IF(OR(H61=4,H61=5),_xlfn.XLOOKUP(I61,'Renewal Rates'!$A$22:$A$27,'Renewal Rates'!$B$22:$B$27,'Renewal Rates'!$B$27,0),'Renewal Rates'!$F$7),IF(A61="Renewal",100%,0%))</f>
        <v>2.6599999999999999E-2</v>
      </c>
      <c r="U61" s="68">
        <f t="shared" si="0"/>
        <v>2896.2611999999999</v>
      </c>
    </row>
    <row r="62" spans="1:21" s="41" customFormat="1" ht="13.8" x14ac:dyDescent="0.3">
      <c r="A62" s="115" t="s">
        <v>21</v>
      </c>
      <c r="B62" s="116">
        <v>2000919369</v>
      </c>
      <c r="C62" s="116">
        <v>4.0250000000000004</v>
      </c>
      <c r="D62" s="117">
        <v>29</v>
      </c>
      <c r="E62" s="117"/>
      <c r="F62" s="117">
        <v>450</v>
      </c>
      <c r="G62" s="117">
        <v>675</v>
      </c>
      <c r="H62" s="123"/>
      <c r="I62" s="117" t="s">
        <v>122</v>
      </c>
      <c r="J62" s="115">
        <v>374</v>
      </c>
      <c r="K62" s="115" t="s">
        <v>23</v>
      </c>
      <c r="L62" s="117" t="s">
        <v>24</v>
      </c>
      <c r="M62" s="66">
        <v>123598</v>
      </c>
      <c r="N62" s="66">
        <v>4260</v>
      </c>
      <c r="O62" s="66">
        <v>42023</v>
      </c>
      <c r="P62" s="66">
        <v>165621</v>
      </c>
      <c r="Q62" s="67">
        <v>0.4</v>
      </c>
      <c r="R62" s="66">
        <v>66248</v>
      </c>
      <c r="S62" s="66">
        <v>231869</v>
      </c>
      <c r="T62" s="106">
        <f>IF(A62="Upgrade",IF(OR(H62=4,H62=5),_xlfn.XLOOKUP(I62,'Renewal Rates'!$A$22:$A$27,'Renewal Rates'!$B$22:$B$27,'Renewal Rates'!$B$27,0),'Renewal Rates'!$F$7),IF(A62="Renewal",100%,0%))</f>
        <v>2.6599999999999999E-2</v>
      </c>
      <c r="U62" s="68">
        <f t="shared" si="0"/>
        <v>6167.7154</v>
      </c>
    </row>
    <row r="63" spans="1:21" s="41" customFormat="1" ht="13.8" x14ac:dyDescent="0.3">
      <c r="A63" s="115" t="s">
        <v>21</v>
      </c>
      <c r="B63" s="116">
        <v>2000467850</v>
      </c>
      <c r="C63" s="116">
        <v>4.0250000000000004</v>
      </c>
      <c r="D63" s="117">
        <v>38.6</v>
      </c>
      <c r="E63" s="117"/>
      <c r="F63" s="117">
        <v>450</v>
      </c>
      <c r="G63" s="117">
        <v>675</v>
      </c>
      <c r="H63" s="123"/>
      <c r="I63" s="117" t="s">
        <v>122</v>
      </c>
      <c r="J63" s="115">
        <v>374</v>
      </c>
      <c r="K63" s="115" t="s">
        <v>23</v>
      </c>
      <c r="L63" s="117" t="s">
        <v>24</v>
      </c>
      <c r="M63" s="66">
        <v>154468</v>
      </c>
      <c r="N63" s="66">
        <v>4005</v>
      </c>
      <c r="O63" s="66">
        <v>52519</v>
      </c>
      <c r="P63" s="66">
        <v>206987</v>
      </c>
      <c r="Q63" s="67">
        <v>0.4</v>
      </c>
      <c r="R63" s="66">
        <v>82795</v>
      </c>
      <c r="S63" s="66">
        <v>289781</v>
      </c>
      <c r="T63" s="106">
        <f>IF(A63="Upgrade",IF(OR(H63=4,H63=5),_xlfn.XLOOKUP(I63,'Renewal Rates'!$A$22:$A$27,'Renewal Rates'!$B$22:$B$27,'Renewal Rates'!$B$27,0),'Renewal Rates'!$F$7),IF(A63="Renewal",100%,0%))</f>
        <v>2.6599999999999999E-2</v>
      </c>
      <c r="U63" s="68">
        <f t="shared" si="0"/>
        <v>7708.1745999999994</v>
      </c>
    </row>
    <row r="64" spans="1:21" s="41" customFormat="1" ht="13.8" x14ac:dyDescent="0.3">
      <c r="A64" s="115" t="s">
        <v>21</v>
      </c>
      <c r="B64" s="116">
        <v>2000461844</v>
      </c>
      <c r="C64" s="116">
        <v>4.0250000000000004</v>
      </c>
      <c r="D64" s="117">
        <v>70.7</v>
      </c>
      <c r="E64" s="117"/>
      <c r="F64" s="117">
        <v>450</v>
      </c>
      <c r="G64" s="117">
        <v>675</v>
      </c>
      <c r="H64" s="123"/>
      <c r="I64" s="117" t="s">
        <v>122</v>
      </c>
      <c r="J64" s="115">
        <v>374</v>
      </c>
      <c r="K64" s="115" t="s">
        <v>23</v>
      </c>
      <c r="L64" s="117" t="s">
        <v>24</v>
      </c>
      <c r="M64" s="66">
        <v>276219</v>
      </c>
      <c r="N64" s="66">
        <v>3905</v>
      </c>
      <c r="O64" s="66">
        <v>93914</v>
      </c>
      <c r="P64" s="66">
        <v>370133</v>
      </c>
      <c r="Q64" s="67">
        <v>0.4</v>
      </c>
      <c r="R64" s="66">
        <v>148053</v>
      </c>
      <c r="S64" s="66">
        <v>518187</v>
      </c>
      <c r="T64" s="106">
        <f>IF(A64="Upgrade",IF(OR(H64=4,H64=5),_xlfn.XLOOKUP(I64,'Renewal Rates'!$A$22:$A$27,'Renewal Rates'!$B$22:$B$27,'Renewal Rates'!$B$27,0),'Renewal Rates'!$F$7),IF(A64="Renewal",100%,0%))</f>
        <v>2.6599999999999999E-2</v>
      </c>
      <c r="U64" s="68">
        <f t="shared" si="0"/>
        <v>13783.7742</v>
      </c>
    </row>
    <row r="65" spans="1:21" s="41" customFormat="1" ht="13.8" x14ac:dyDescent="0.3">
      <c r="A65" s="115" t="s">
        <v>21</v>
      </c>
      <c r="B65" s="116">
        <v>2000295204</v>
      </c>
      <c r="C65" s="116">
        <v>4.0250000000000004</v>
      </c>
      <c r="D65" s="117">
        <v>82.3</v>
      </c>
      <c r="E65" s="117"/>
      <c r="F65" s="117">
        <v>375</v>
      </c>
      <c r="G65" s="117">
        <v>675</v>
      </c>
      <c r="H65" s="123"/>
      <c r="I65" s="117" t="s">
        <v>122</v>
      </c>
      <c r="J65" s="115">
        <v>374</v>
      </c>
      <c r="K65" s="115" t="s">
        <v>23</v>
      </c>
      <c r="L65" s="117" t="s">
        <v>24</v>
      </c>
      <c r="M65" s="66">
        <v>309454</v>
      </c>
      <c r="N65" s="66">
        <v>3762</v>
      </c>
      <c r="O65" s="66">
        <v>105214</v>
      </c>
      <c r="P65" s="66">
        <v>414668</v>
      </c>
      <c r="Q65" s="67">
        <v>0.4</v>
      </c>
      <c r="R65" s="66">
        <v>165867</v>
      </c>
      <c r="S65" s="66">
        <v>580535</v>
      </c>
      <c r="T65" s="106">
        <f>IF(A65="Upgrade",IF(OR(H65=4,H65=5),_xlfn.XLOOKUP(I65,'Renewal Rates'!$A$22:$A$27,'Renewal Rates'!$B$22:$B$27,'Renewal Rates'!$B$27,0),'Renewal Rates'!$F$7),IF(A65="Renewal",100%,0%))</f>
        <v>2.6599999999999999E-2</v>
      </c>
      <c r="U65" s="68">
        <f t="shared" si="0"/>
        <v>15442.231</v>
      </c>
    </row>
    <row r="66" spans="1:21" s="41" customFormat="1" ht="13.8" x14ac:dyDescent="0.3">
      <c r="A66" s="115" t="s">
        <v>21</v>
      </c>
      <c r="B66" s="116">
        <v>2000323906</v>
      </c>
      <c r="C66" s="116">
        <v>4.024</v>
      </c>
      <c r="D66" s="117">
        <v>55.9</v>
      </c>
      <c r="E66" s="117"/>
      <c r="F66" s="117">
        <v>300</v>
      </c>
      <c r="G66" s="117">
        <v>600</v>
      </c>
      <c r="H66" s="123"/>
      <c r="I66" s="117" t="s">
        <v>122</v>
      </c>
      <c r="J66" s="115">
        <v>374</v>
      </c>
      <c r="K66" s="115" t="s">
        <v>23</v>
      </c>
      <c r="L66" s="117" t="s">
        <v>24</v>
      </c>
      <c r="M66" s="66">
        <v>197390</v>
      </c>
      <c r="N66" s="66">
        <v>3533</v>
      </c>
      <c r="O66" s="66">
        <v>67113</v>
      </c>
      <c r="P66" s="66">
        <v>264503</v>
      </c>
      <c r="Q66" s="67">
        <v>0.4</v>
      </c>
      <c r="R66" s="66">
        <v>105801</v>
      </c>
      <c r="S66" s="66">
        <v>370304</v>
      </c>
      <c r="T66" s="106">
        <f>IF(A66="Upgrade",IF(OR(H66=4,H66=5),_xlfn.XLOOKUP(I66,'Renewal Rates'!$A$22:$A$27,'Renewal Rates'!$B$22:$B$27,'Renewal Rates'!$B$27,0),'Renewal Rates'!$F$7),IF(A66="Renewal",100%,0%))</f>
        <v>2.6599999999999999E-2</v>
      </c>
      <c r="U66" s="68">
        <f t="shared" si="0"/>
        <v>9850.0864000000001</v>
      </c>
    </row>
    <row r="67" spans="1:21" s="41" customFormat="1" ht="13.8" x14ac:dyDescent="0.3">
      <c r="A67" s="115" t="s">
        <v>21</v>
      </c>
      <c r="B67" s="116">
        <v>2000064698</v>
      </c>
      <c r="C67" s="116">
        <v>4.024</v>
      </c>
      <c r="D67" s="117">
        <v>61.7</v>
      </c>
      <c r="E67" s="117"/>
      <c r="F67" s="117">
        <v>300</v>
      </c>
      <c r="G67" s="117">
        <v>600</v>
      </c>
      <c r="H67" s="123"/>
      <c r="I67" s="117" t="s">
        <v>122</v>
      </c>
      <c r="J67" s="115">
        <v>374</v>
      </c>
      <c r="K67" s="115" t="s">
        <v>23</v>
      </c>
      <c r="L67" s="117" t="s">
        <v>24</v>
      </c>
      <c r="M67" s="66">
        <v>222883</v>
      </c>
      <c r="N67" s="66">
        <v>3611</v>
      </c>
      <c r="O67" s="66">
        <v>75780</v>
      </c>
      <c r="P67" s="66">
        <v>298663</v>
      </c>
      <c r="Q67" s="67">
        <v>0.4</v>
      </c>
      <c r="R67" s="66">
        <v>119465</v>
      </c>
      <c r="S67" s="66">
        <v>418128</v>
      </c>
      <c r="T67" s="106">
        <f>IF(A67="Upgrade",IF(OR(H67=4,H67=5),_xlfn.XLOOKUP(I67,'Renewal Rates'!$A$22:$A$27,'Renewal Rates'!$B$22:$B$27,'Renewal Rates'!$B$27,0),'Renewal Rates'!$F$7),IF(A67="Renewal",100%,0%))</f>
        <v>2.6599999999999999E-2</v>
      </c>
      <c r="U67" s="68">
        <f t="shared" si="0"/>
        <v>11122.2048</v>
      </c>
    </row>
    <row r="68" spans="1:21" s="41" customFormat="1" ht="13.8" x14ac:dyDescent="0.3">
      <c r="A68" s="115" t="s">
        <v>21</v>
      </c>
      <c r="B68" s="116">
        <v>2000383617</v>
      </c>
      <c r="C68" s="116">
        <v>4.024</v>
      </c>
      <c r="D68" s="117">
        <v>73.900000000000006</v>
      </c>
      <c r="E68" s="117"/>
      <c r="F68" s="117">
        <v>300</v>
      </c>
      <c r="G68" s="117">
        <v>600</v>
      </c>
      <c r="H68" s="123"/>
      <c r="I68" s="117" t="s">
        <v>122</v>
      </c>
      <c r="J68" s="115">
        <v>374</v>
      </c>
      <c r="K68" s="115" t="s">
        <v>23</v>
      </c>
      <c r="L68" s="117" t="s">
        <v>24</v>
      </c>
      <c r="M68" s="66">
        <v>271251</v>
      </c>
      <c r="N68" s="66">
        <v>3673</v>
      </c>
      <c r="O68" s="66">
        <v>92225</v>
      </c>
      <c r="P68" s="66">
        <v>363476</v>
      </c>
      <c r="Q68" s="67">
        <v>0.4</v>
      </c>
      <c r="R68" s="66">
        <v>145390</v>
      </c>
      <c r="S68" s="66">
        <v>508866</v>
      </c>
      <c r="T68" s="106">
        <f>IF(A68="Upgrade",IF(OR(H68=4,H68=5),_xlfn.XLOOKUP(I68,'Renewal Rates'!$A$22:$A$27,'Renewal Rates'!$B$22:$B$27,'Renewal Rates'!$B$27,0),'Renewal Rates'!$F$7),IF(A68="Renewal",100%,0%))</f>
        <v>2.6599999999999999E-2</v>
      </c>
      <c r="U68" s="68">
        <f t="shared" ref="U68:U131" si="1">S68*T68</f>
        <v>13535.835599999999</v>
      </c>
    </row>
    <row r="69" spans="1:21" s="41" customFormat="1" ht="13.8" x14ac:dyDescent="0.3">
      <c r="A69" s="115" t="s">
        <v>25</v>
      </c>
      <c r="B69" s="116" t="s">
        <v>22</v>
      </c>
      <c r="C69" s="116">
        <v>4.0049999999999999</v>
      </c>
      <c r="D69" s="117"/>
      <c r="E69" s="117">
        <v>170.4</v>
      </c>
      <c r="F69" s="117"/>
      <c r="G69" s="117">
        <v>675</v>
      </c>
      <c r="H69" s="123"/>
      <c r="I69" s="117" t="s">
        <v>122</v>
      </c>
      <c r="J69" s="115">
        <v>374</v>
      </c>
      <c r="K69" s="115" t="s">
        <v>23</v>
      </c>
      <c r="L69" s="117" t="s">
        <v>24</v>
      </c>
      <c r="M69" s="66">
        <v>639719</v>
      </c>
      <c r="N69" s="66">
        <v>3755</v>
      </c>
      <c r="O69" s="66">
        <v>217505</v>
      </c>
      <c r="P69" s="66">
        <v>857224</v>
      </c>
      <c r="Q69" s="67">
        <v>0.4</v>
      </c>
      <c r="R69" s="66">
        <v>342890</v>
      </c>
      <c r="S69" s="66">
        <v>1200113</v>
      </c>
      <c r="T69" s="106">
        <f>IF(A69="Upgrade",IF(OR(H69=4,H69=5),_xlfn.XLOOKUP(I69,'Renewal Rates'!$A$22:$A$27,'Renewal Rates'!$B$22:$B$27,'Renewal Rates'!$B$27,0),'Renewal Rates'!$F$7),IF(A69="Renewal",100%,0%))</f>
        <v>0</v>
      </c>
      <c r="U69" s="68">
        <f t="shared" si="1"/>
        <v>0</v>
      </c>
    </row>
    <row r="70" spans="1:21" s="41" customFormat="1" ht="13.8" x14ac:dyDescent="0.3">
      <c r="A70" s="115" t="s">
        <v>21</v>
      </c>
      <c r="B70" s="116">
        <v>2000659971</v>
      </c>
      <c r="C70" s="116">
        <v>4.0279999999999996</v>
      </c>
      <c r="D70" s="117">
        <v>26.5</v>
      </c>
      <c r="E70" s="117"/>
      <c r="F70" s="117">
        <v>900</v>
      </c>
      <c r="G70" s="117">
        <v>1500</v>
      </c>
      <c r="H70" s="123">
        <v>4</v>
      </c>
      <c r="I70" s="117">
        <v>2</v>
      </c>
      <c r="J70" s="115">
        <v>374</v>
      </c>
      <c r="K70" s="115" t="s">
        <v>23</v>
      </c>
      <c r="L70" s="117" t="s">
        <v>24</v>
      </c>
      <c r="M70" s="66">
        <v>241712</v>
      </c>
      <c r="N70" s="66">
        <v>9110</v>
      </c>
      <c r="O70" s="66">
        <v>82182</v>
      </c>
      <c r="P70" s="66">
        <v>323893</v>
      </c>
      <c r="Q70" s="67">
        <v>0.4</v>
      </c>
      <c r="R70" s="66">
        <v>129557</v>
      </c>
      <c r="S70" s="66">
        <v>453451</v>
      </c>
      <c r="T70" s="106">
        <f>IF(A70="Upgrade",IF(OR(H70=4,H70=5),_xlfn.XLOOKUP(I70,'Renewal Rates'!$A$22:$A$27,'Renewal Rates'!$B$22:$B$27,'Renewal Rates'!$B$27,0),'Renewal Rates'!$F$7),IF(A70="Renewal",100%,0%))</f>
        <v>0</v>
      </c>
      <c r="U70" s="68">
        <f t="shared" si="1"/>
        <v>0</v>
      </c>
    </row>
    <row r="71" spans="1:21" s="41" customFormat="1" ht="13.8" x14ac:dyDescent="0.3">
      <c r="A71" s="115" t="s">
        <v>21</v>
      </c>
      <c r="B71" s="116">
        <v>3000109186</v>
      </c>
      <c r="C71" s="116">
        <v>4.0279999999999996</v>
      </c>
      <c r="D71" s="117">
        <v>23.9</v>
      </c>
      <c r="E71" s="117"/>
      <c r="F71" s="117">
        <v>900</v>
      </c>
      <c r="G71" s="117">
        <v>1500</v>
      </c>
      <c r="H71" s="123"/>
      <c r="I71" s="117" t="s">
        <v>122</v>
      </c>
      <c r="J71" s="115">
        <v>374</v>
      </c>
      <c r="K71" s="115" t="s">
        <v>23</v>
      </c>
      <c r="L71" s="117" t="s">
        <v>24</v>
      </c>
      <c r="M71" s="66">
        <v>210911</v>
      </c>
      <c r="N71" s="66">
        <v>8835</v>
      </c>
      <c r="O71" s="66">
        <v>71710</v>
      </c>
      <c r="P71" s="66">
        <v>282620</v>
      </c>
      <c r="Q71" s="67">
        <v>0.4</v>
      </c>
      <c r="R71" s="66">
        <v>113048</v>
      </c>
      <c r="S71" s="66">
        <v>395669</v>
      </c>
      <c r="T71" s="106">
        <f>IF(A71="Upgrade",IF(OR(H71=4,H71=5),_xlfn.XLOOKUP(I71,'Renewal Rates'!$A$22:$A$27,'Renewal Rates'!$B$22:$B$27,'Renewal Rates'!$B$27,0),'Renewal Rates'!$F$7),IF(A71="Renewal",100%,0%))</f>
        <v>2.6599999999999999E-2</v>
      </c>
      <c r="U71" s="68">
        <f t="shared" si="1"/>
        <v>10524.795399999999</v>
      </c>
    </row>
    <row r="72" spans="1:21" s="41" customFormat="1" ht="13.8" x14ac:dyDescent="0.3">
      <c r="A72" s="115" t="s">
        <v>21</v>
      </c>
      <c r="B72" s="116">
        <v>2000391695</v>
      </c>
      <c r="C72" s="116">
        <v>4.0279999999999996</v>
      </c>
      <c r="D72" s="117">
        <v>37.1</v>
      </c>
      <c r="E72" s="117"/>
      <c r="F72" s="117">
        <v>900</v>
      </c>
      <c r="G72" s="117">
        <v>1500</v>
      </c>
      <c r="H72" s="123"/>
      <c r="I72" s="117" t="s">
        <v>122</v>
      </c>
      <c r="J72" s="115">
        <v>374</v>
      </c>
      <c r="K72" s="115" t="s">
        <v>23</v>
      </c>
      <c r="L72" s="117" t="s">
        <v>24</v>
      </c>
      <c r="M72" s="66">
        <v>319241</v>
      </c>
      <c r="N72" s="66">
        <v>8608</v>
      </c>
      <c r="O72" s="66">
        <v>108542</v>
      </c>
      <c r="P72" s="66">
        <v>427784</v>
      </c>
      <c r="Q72" s="67">
        <v>0.4</v>
      </c>
      <c r="R72" s="66">
        <v>171113</v>
      </c>
      <c r="S72" s="66">
        <v>598897</v>
      </c>
      <c r="T72" s="106">
        <f>IF(A72="Upgrade",IF(OR(H72=4,H72=5),_xlfn.XLOOKUP(I72,'Renewal Rates'!$A$22:$A$27,'Renewal Rates'!$B$22:$B$27,'Renewal Rates'!$B$27,0),'Renewal Rates'!$F$7),IF(A72="Renewal",100%,0%))</f>
        <v>2.6599999999999999E-2</v>
      </c>
      <c r="U72" s="68">
        <f t="shared" si="1"/>
        <v>15930.660199999998</v>
      </c>
    </row>
    <row r="73" spans="1:21" s="41" customFormat="1" ht="13.8" x14ac:dyDescent="0.3">
      <c r="A73" s="115" t="s">
        <v>21</v>
      </c>
      <c r="B73" s="116">
        <v>2000181397</v>
      </c>
      <c r="C73" s="116">
        <v>4.0279999999999996</v>
      </c>
      <c r="D73" s="117">
        <v>68.900000000000006</v>
      </c>
      <c r="E73" s="117"/>
      <c r="F73" s="117">
        <v>900</v>
      </c>
      <c r="G73" s="117">
        <v>1500</v>
      </c>
      <c r="H73" s="123"/>
      <c r="I73" s="117" t="s">
        <v>122</v>
      </c>
      <c r="J73" s="115">
        <v>374</v>
      </c>
      <c r="K73" s="115" t="s">
        <v>23</v>
      </c>
      <c r="L73" s="117" t="s">
        <v>24</v>
      </c>
      <c r="M73" s="66">
        <v>571410</v>
      </c>
      <c r="N73" s="66">
        <v>8294</v>
      </c>
      <c r="O73" s="66">
        <v>194279</v>
      </c>
      <c r="P73" s="66">
        <v>765689</v>
      </c>
      <c r="Q73" s="67">
        <v>0.4</v>
      </c>
      <c r="R73" s="66">
        <v>306276</v>
      </c>
      <c r="S73" s="66">
        <v>1071965</v>
      </c>
      <c r="T73" s="106">
        <f>IF(A73="Upgrade",IF(OR(H73=4,H73=5),_xlfn.XLOOKUP(I73,'Renewal Rates'!$A$22:$A$27,'Renewal Rates'!$B$22:$B$27,'Renewal Rates'!$B$27,0),'Renewal Rates'!$F$7),IF(A73="Renewal",100%,0%))</f>
        <v>2.6599999999999999E-2</v>
      </c>
      <c r="U73" s="68">
        <f t="shared" si="1"/>
        <v>28514.269</v>
      </c>
    </row>
    <row r="74" spans="1:21" s="41" customFormat="1" ht="13.8" x14ac:dyDescent="0.3">
      <c r="A74" s="115" t="s">
        <v>21</v>
      </c>
      <c r="B74" s="116">
        <v>2000463700</v>
      </c>
      <c r="C74" s="116">
        <v>4.0279999999999996</v>
      </c>
      <c r="D74" s="117">
        <v>78.2</v>
      </c>
      <c r="E74" s="117"/>
      <c r="F74" s="117">
        <v>900</v>
      </c>
      <c r="G74" s="117">
        <v>1500</v>
      </c>
      <c r="H74" s="123"/>
      <c r="I74" s="117" t="s">
        <v>122</v>
      </c>
      <c r="J74" s="115">
        <v>374</v>
      </c>
      <c r="K74" s="115" t="s">
        <v>23</v>
      </c>
      <c r="L74" s="117" t="s">
        <v>24</v>
      </c>
      <c r="M74" s="66">
        <v>644998</v>
      </c>
      <c r="N74" s="66">
        <v>8253</v>
      </c>
      <c r="O74" s="66">
        <v>219299</v>
      </c>
      <c r="P74" s="66">
        <v>864298</v>
      </c>
      <c r="Q74" s="67">
        <v>0.4</v>
      </c>
      <c r="R74" s="66">
        <v>345719</v>
      </c>
      <c r="S74" s="66">
        <v>1210017</v>
      </c>
      <c r="T74" s="106">
        <f>IF(A74="Upgrade",IF(OR(H74=4,H74=5),_xlfn.XLOOKUP(I74,'Renewal Rates'!$A$22:$A$27,'Renewal Rates'!$B$22:$B$27,'Renewal Rates'!$B$27,0),'Renewal Rates'!$F$7),IF(A74="Renewal",100%,0%))</f>
        <v>2.6599999999999999E-2</v>
      </c>
      <c r="U74" s="68">
        <f t="shared" si="1"/>
        <v>32186.4522</v>
      </c>
    </row>
    <row r="75" spans="1:21" s="41" customFormat="1" ht="13.8" x14ac:dyDescent="0.3">
      <c r="A75" s="115" t="s">
        <v>21</v>
      </c>
      <c r="B75" s="116">
        <v>2000875751</v>
      </c>
      <c r="C75" s="116">
        <v>4.0270000000000001</v>
      </c>
      <c r="D75" s="117">
        <v>91.5</v>
      </c>
      <c r="E75" s="117"/>
      <c r="F75" s="117">
        <v>150</v>
      </c>
      <c r="G75" s="117">
        <v>450</v>
      </c>
      <c r="H75" s="123"/>
      <c r="I75" s="117" t="s">
        <v>122</v>
      </c>
      <c r="J75" s="115">
        <v>374</v>
      </c>
      <c r="K75" s="115" t="s">
        <v>23</v>
      </c>
      <c r="L75" s="117" t="s">
        <v>24</v>
      </c>
      <c r="M75" s="66">
        <v>245592</v>
      </c>
      <c r="N75" s="66">
        <v>2683</v>
      </c>
      <c r="O75" s="66">
        <v>83501</v>
      </c>
      <c r="P75" s="66">
        <v>329093</v>
      </c>
      <c r="Q75" s="67">
        <v>0.4</v>
      </c>
      <c r="R75" s="66">
        <v>131637</v>
      </c>
      <c r="S75" s="66">
        <v>460731</v>
      </c>
      <c r="T75" s="106">
        <f>IF(A75="Upgrade",IF(OR(H75=4,H75=5),_xlfn.XLOOKUP(I75,'Renewal Rates'!$A$22:$A$27,'Renewal Rates'!$B$22:$B$27,'Renewal Rates'!$B$27,0),'Renewal Rates'!$F$7),IF(A75="Renewal",100%,0%))</f>
        <v>2.6599999999999999E-2</v>
      </c>
      <c r="U75" s="68">
        <f t="shared" si="1"/>
        <v>12255.444599999999</v>
      </c>
    </row>
    <row r="76" spans="1:21" s="41" customFormat="1" ht="13.8" x14ac:dyDescent="0.3">
      <c r="A76" s="115" t="s">
        <v>21</v>
      </c>
      <c r="B76" s="116">
        <v>2000673218</v>
      </c>
      <c r="C76" s="116">
        <v>4.0289999999999999</v>
      </c>
      <c r="D76" s="117">
        <v>52.6</v>
      </c>
      <c r="E76" s="117"/>
      <c r="F76" s="117">
        <v>750</v>
      </c>
      <c r="G76" s="117">
        <v>1350</v>
      </c>
      <c r="H76" s="123"/>
      <c r="I76" s="117" t="s">
        <v>122</v>
      </c>
      <c r="J76" s="115">
        <v>374</v>
      </c>
      <c r="K76" s="115" t="s">
        <v>23</v>
      </c>
      <c r="L76" s="117" t="s">
        <v>24</v>
      </c>
      <c r="M76" s="66">
        <v>391924</v>
      </c>
      <c r="N76" s="66">
        <v>7456</v>
      </c>
      <c r="O76" s="66">
        <v>133254</v>
      </c>
      <c r="P76" s="66">
        <v>525178</v>
      </c>
      <c r="Q76" s="67">
        <v>0.4</v>
      </c>
      <c r="R76" s="66">
        <v>210071</v>
      </c>
      <c r="S76" s="66">
        <v>735249</v>
      </c>
      <c r="T76" s="106">
        <f>IF(A76="Upgrade",IF(OR(H76=4,H76=5),_xlfn.XLOOKUP(I76,'Renewal Rates'!$A$22:$A$27,'Renewal Rates'!$B$22:$B$27,'Renewal Rates'!$B$27,0),'Renewal Rates'!$F$7),IF(A76="Renewal",100%,0%))</f>
        <v>2.6599999999999999E-2</v>
      </c>
      <c r="U76" s="68">
        <f t="shared" si="1"/>
        <v>19557.6234</v>
      </c>
    </row>
    <row r="77" spans="1:21" s="41" customFormat="1" ht="13.8" x14ac:dyDescent="0.3">
      <c r="A77" s="115" t="s">
        <v>21</v>
      </c>
      <c r="B77" s="116">
        <v>2000917975</v>
      </c>
      <c r="C77" s="116">
        <v>4.0289999999999999</v>
      </c>
      <c r="D77" s="117">
        <v>38.799999999999997</v>
      </c>
      <c r="E77" s="117"/>
      <c r="F77" s="117">
        <v>750</v>
      </c>
      <c r="G77" s="117">
        <v>1350</v>
      </c>
      <c r="H77" s="123"/>
      <c r="I77" s="117" t="s">
        <v>122</v>
      </c>
      <c r="J77" s="115">
        <v>374</v>
      </c>
      <c r="K77" s="115" t="s">
        <v>23</v>
      </c>
      <c r="L77" s="117" t="s">
        <v>24</v>
      </c>
      <c r="M77" s="66">
        <v>289397</v>
      </c>
      <c r="N77" s="66">
        <v>7452</v>
      </c>
      <c r="O77" s="66">
        <v>98395</v>
      </c>
      <c r="P77" s="66">
        <v>387791</v>
      </c>
      <c r="Q77" s="67">
        <v>0.4</v>
      </c>
      <c r="R77" s="66">
        <v>155117</v>
      </c>
      <c r="S77" s="66">
        <v>542908</v>
      </c>
      <c r="T77" s="106">
        <f>IF(A77="Upgrade",IF(OR(H77=4,H77=5),_xlfn.XLOOKUP(I77,'Renewal Rates'!$A$22:$A$27,'Renewal Rates'!$B$22:$B$27,'Renewal Rates'!$B$27,0),'Renewal Rates'!$F$7),IF(A77="Renewal",100%,0%))</f>
        <v>2.6599999999999999E-2</v>
      </c>
      <c r="U77" s="68">
        <f t="shared" si="1"/>
        <v>14441.352799999999</v>
      </c>
    </row>
    <row r="78" spans="1:21" s="41" customFormat="1" ht="13.8" x14ac:dyDescent="0.3">
      <c r="A78" s="115" t="s">
        <v>21</v>
      </c>
      <c r="B78" s="116">
        <v>2000011819</v>
      </c>
      <c r="C78" s="116">
        <v>4.03</v>
      </c>
      <c r="D78" s="117">
        <v>6.7</v>
      </c>
      <c r="E78" s="117"/>
      <c r="F78" s="117">
        <v>300</v>
      </c>
      <c r="G78" s="117">
        <v>900</v>
      </c>
      <c r="H78" s="123"/>
      <c r="I78" s="117" t="s">
        <v>122</v>
      </c>
      <c r="J78" s="115">
        <v>374</v>
      </c>
      <c r="K78" s="115" t="s">
        <v>23</v>
      </c>
      <c r="L78" s="117" t="s">
        <v>24</v>
      </c>
      <c r="M78" s="66">
        <v>86665</v>
      </c>
      <c r="N78" s="66">
        <v>12840</v>
      </c>
      <c r="O78" s="66">
        <v>29466</v>
      </c>
      <c r="P78" s="66">
        <v>116130</v>
      </c>
      <c r="Q78" s="67">
        <v>0.4</v>
      </c>
      <c r="R78" s="66">
        <v>46452</v>
      </c>
      <c r="S78" s="66">
        <v>162583</v>
      </c>
      <c r="T78" s="106">
        <f>IF(A78="Upgrade",IF(OR(H78=4,H78=5),_xlfn.XLOOKUP(I78,'Renewal Rates'!$A$22:$A$27,'Renewal Rates'!$B$22:$B$27,'Renewal Rates'!$B$27,0),'Renewal Rates'!$F$7),IF(A78="Renewal",100%,0%))</f>
        <v>2.6599999999999999E-2</v>
      </c>
      <c r="U78" s="68">
        <f t="shared" si="1"/>
        <v>4324.7078000000001</v>
      </c>
    </row>
    <row r="79" spans="1:21" s="41" customFormat="1" ht="13.8" x14ac:dyDescent="0.3">
      <c r="A79" s="115" t="s">
        <v>21</v>
      </c>
      <c r="B79" s="116">
        <v>2000104244</v>
      </c>
      <c r="C79" s="116">
        <v>4.03</v>
      </c>
      <c r="D79" s="117">
        <v>128.30000000000001</v>
      </c>
      <c r="E79" s="117"/>
      <c r="F79" s="117">
        <v>300</v>
      </c>
      <c r="G79" s="117">
        <v>900</v>
      </c>
      <c r="H79" s="123"/>
      <c r="I79" s="117" t="s">
        <v>122</v>
      </c>
      <c r="J79" s="115">
        <v>374</v>
      </c>
      <c r="K79" s="115" t="s">
        <v>23</v>
      </c>
      <c r="L79" s="117" t="s">
        <v>24</v>
      </c>
      <c r="M79" s="66">
        <v>678745</v>
      </c>
      <c r="N79" s="66">
        <v>5289</v>
      </c>
      <c r="O79" s="66">
        <v>230773</v>
      </c>
      <c r="P79" s="66">
        <v>909518</v>
      </c>
      <c r="Q79" s="67">
        <v>0.4</v>
      </c>
      <c r="R79" s="66">
        <v>363807</v>
      </c>
      <c r="S79" s="66">
        <v>1273325</v>
      </c>
      <c r="T79" s="106">
        <f>IF(A79="Upgrade",IF(OR(H79=4,H79=5),_xlfn.XLOOKUP(I79,'Renewal Rates'!$A$22:$A$27,'Renewal Rates'!$B$22:$B$27,'Renewal Rates'!$B$27,0),'Renewal Rates'!$F$7),IF(A79="Renewal",100%,0%))</f>
        <v>2.6599999999999999E-2</v>
      </c>
      <c r="U79" s="68">
        <f t="shared" si="1"/>
        <v>33870.445</v>
      </c>
    </row>
    <row r="80" spans="1:21" s="41" customFormat="1" ht="13.8" x14ac:dyDescent="0.3">
      <c r="A80" s="115" t="s">
        <v>21</v>
      </c>
      <c r="B80" s="116">
        <v>2000356296</v>
      </c>
      <c r="C80" s="116">
        <v>4.0490000000000004</v>
      </c>
      <c r="D80" s="117">
        <v>11.6</v>
      </c>
      <c r="E80" s="117"/>
      <c r="F80" s="117">
        <v>750</v>
      </c>
      <c r="G80" s="117">
        <v>975</v>
      </c>
      <c r="H80" s="123"/>
      <c r="I80" s="117" t="s">
        <v>122</v>
      </c>
      <c r="J80" s="115">
        <v>374</v>
      </c>
      <c r="K80" s="115" t="s">
        <v>23</v>
      </c>
      <c r="L80" s="117" t="s">
        <v>24</v>
      </c>
      <c r="M80" s="66">
        <v>111272</v>
      </c>
      <c r="N80" s="66">
        <v>9563</v>
      </c>
      <c r="O80" s="66">
        <v>37833</v>
      </c>
      <c r="P80" s="66">
        <v>149105</v>
      </c>
      <c r="Q80" s="67">
        <v>0.4</v>
      </c>
      <c r="R80" s="66">
        <v>59642</v>
      </c>
      <c r="S80" s="66">
        <v>208747</v>
      </c>
      <c r="T80" s="106">
        <f>IF(A80="Upgrade",IF(OR(H80=4,H80=5),_xlfn.XLOOKUP(I80,'Renewal Rates'!$A$22:$A$27,'Renewal Rates'!$B$22:$B$27,'Renewal Rates'!$B$27,0),'Renewal Rates'!$F$7),IF(A80="Renewal",100%,0%))</f>
        <v>2.6599999999999999E-2</v>
      </c>
      <c r="U80" s="68">
        <f t="shared" si="1"/>
        <v>5552.6701999999996</v>
      </c>
    </row>
    <row r="81" spans="1:21" s="41" customFormat="1" ht="13.8" x14ac:dyDescent="0.3">
      <c r="A81" s="115" t="s">
        <v>21</v>
      </c>
      <c r="B81" s="116">
        <v>2000504679</v>
      </c>
      <c r="C81" s="116">
        <v>4.0490000000000004</v>
      </c>
      <c r="D81" s="117">
        <v>64.599999999999994</v>
      </c>
      <c r="E81" s="117"/>
      <c r="F81" s="117">
        <v>750</v>
      </c>
      <c r="G81" s="117">
        <v>975</v>
      </c>
      <c r="H81" s="123"/>
      <c r="I81" s="117" t="s">
        <v>122</v>
      </c>
      <c r="J81" s="115">
        <v>374</v>
      </c>
      <c r="K81" s="115" t="s">
        <v>23</v>
      </c>
      <c r="L81" s="117" t="s">
        <v>24</v>
      </c>
      <c r="M81" s="66">
        <v>406982</v>
      </c>
      <c r="N81" s="66">
        <v>6303</v>
      </c>
      <c r="O81" s="66">
        <v>138374</v>
      </c>
      <c r="P81" s="66">
        <v>545356</v>
      </c>
      <c r="Q81" s="67">
        <v>0.4</v>
      </c>
      <c r="R81" s="66">
        <v>218143</v>
      </c>
      <c r="S81" s="66">
        <v>763499</v>
      </c>
      <c r="T81" s="106">
        <f>IF(A81="Upgrade",IF(OR(H81=4,H81=5),_xlfn.XLOOKUP(I81,'Renewal Rates'!$A$22:$A$27,'Renewal Rates'!$B$22:$B$27,'Renewal Rates'!$B$27,0),'Renewal Rates'!$F$7),IF(A81="Renewal",100%,0%))</f>
        <v>2.6599999999999999E-2</v>
      </c>
      <c r="U81" s="68">
        <f t="shared" si="1"/>
        <v>20309.073399999997</v>
      </c>
    </row>
    <row r="82" spans="1:21" s="41" customFormat="1" ht="13.8" x14ac:dyDescent="0.3">
      <c r="A82" s="115" t="s">
        <v>21</v>
      </c>
      <c r="B82" s="116">
        <v>2000228149</v>
      </c>
      <c r="C82" s="116">
        <v>4.048</v>
      </c>
      <c r="D82" s="117">
        <v>36.4</v>
      </c>
      <c r="E82" s="117"/>
      <c r="F82" s="117">
        <v>675</v>
      </c>
      <c r="G82" s="117">
        <v>900</v>
      </c>
      <c r="H82" s="123"/>
      <c r="I82" s="117" t="s">
        <v>122</v>
      </c>
      <c r="J82" s="115">
        <v>374</v>
      </c>
      <c r="K82" s="115" t="s">
        <v>23</v>
      </c>
      <c r="L82" s="117" t="s">
        <v>24</v>
      </c>
      <c r="M82" s="66">
        <v>204137</v>
      </c>
      <c r="N82" s="66">
        <v>5604</v>
      </c>
      <c r="O82" s="66">
        <v>69407</v>
      </c>
      <c r="P82" s="66">
        <v>273544</v>
      </c>
      <c r="Q82" s="67">
        <v>0.4</v>
      </c>
      <c r="R82" s="66">
        <v>109418</v>
      </c>
      <c r="S82" s="66">
        <v>382962</v>
      </c>
      <c r="T82" s="106">
        <f>IF(A82="Upgrade",IF(OR(H82=4,H82=5),_xlfn.XLOOKUP(I82,'Renewal Rates'!$A$22:$A$27,'Renewal Rates'!$B$22:$B$27,'Renewal Rates'!$B$27,0),'Renewal Rates'!$F$7),IF(A82="Renewal",100%,0%))</f>
        <v>2.6599999999999999E-2</v>
      </c>
      <c r="U82" s="68">
        <f t="shared" si="1"/>
        <v>10186.789199999999</v>
      </c>
    </row>
    <row r="83" spans="1:21" s="41" customFormat="1" ht="13.8" x14ac:dyDescent="0.3">
      <c r="A83" s="115" t="s">
        <v>21</v>
      </c>
      <c r="B83" s="116">
        <v>2000531008</v>
      </c>
      <c r="C83" s="116">
        <v>4.048</v>
      </c>
      <c r="D83" s="117">
        <v>43.8</v>
      </c>
      <c r="E83" s="117"/>
      <c r="F83" s="117">
        <v>675</v>
      </c>
      <c r="G83" s="117">
        <v>900</v>
      </c>
      <c r="H83" s="123"/>
      <c r="I83" s="117" t="s">
        <v>122</v>
      </c>
      <c r="J83" s="115">
        <v>374</v>
      </c>
      <c r="K83" s="115" t="s">
        <v>23</v>
      </c>
      <c r="L83" s="117" t="s">
        <v>24</v>
      </c>
      <c r="M83" s="66">
        <v>239307</v>
      </c>
      <c r="N83" s="66">
        <v>5462</v>
      </c>
      <c r="O83" s="66">
        <v>81364</v>
      </c>
      <c r="P83" s="66">
        <v>320672</v>
      </c>
      <c r="Q83" s="67">
        <v>0.4</v>
      </c>
      <c r="R83" s="66">
        <v>128269</v>
      </c>
      <c r="S83" s="66">
        <v>448940</v>
      </c>
      <c r="T83" s="106">
        <f>IF(A83="Upgrade",IF(OR(H83=4,H83=5),_xlfn.XLOOKUP(I83,'Renewal Rates'!$A$22:$A$27,'Renewal Rates'!$B$22:$B$27,'Renewal Rates'!$B$27,0),'Renewal Rates'!$F$7),IF(A83="Renewal",100%,0%))</f>
        <v>2.6599999999999999E-2</v>
      </c>
      <c r="U83" s="68">
        <f t="shared" si="1"/>
        <v>11941.804</v>
      </c>
    </row>
    <row r="84" spans="1:21" s="41" customFormat="1" ht="13.8" x14ac:dyDescent="0.3">
      <c r="A84" s="115" t="s">
        <v>21</v>
      </c>
      <c r="B84" s="116">
        <v>2000074089</v>
      </c>
      <c r="C84" s="116">
        <v>4.048</v>
      </c>
      <c r="D84" s="117">
        <v>27.8</v>
      </c>
      <c r="E84" s="117"/>
      <c r="F84" s="117">
        <v>675</v>
      </c>
      <c r="G84" s="117">
        <v>900</v>
      </c>
      <c r="H84" s="123"/>
      <c r="I84" s="117" t="s">
        <v>122</v>
      </c>
      <c r="J84" s="115">
        <v>374</v>
      </c>
      <c r="K84" s="115" t="s">
        <v>23</v>
      </c>
      <c r="L84" s="117" t="s">
        <v>24</v>
      </c>
      <c r="M84" s="66">
        <v>166833</v>
      </c>
      <c r="N84" s="66">
        <v>6007</v>
      </c>
      <c r="O84" s="66">
        <v>56723</v>
      </c>
      <c r="P84" s="66">
        <v>223556</v>
      </c>
      <c r="Q84" s="67">
        <v>0.4</v>
      </c>
      <c r="R84" s="66">
        <v>89422</v>
      </c>
      <c r="S84" s="66">
        <v>312979</v>
      </c>
      <c r="T84" s="106">
        <f>IF(A84="Upgrade",IF(OR(H84=4,H84=5),_xlfn.XLOOKUP(I84,'Renewal Rates'!$A$22:$A$27,'Renewal Rates'!$B$22:$B$27,'Renewal Rates'!$B$27,0),'Renewal Rates'!$F$7),IF(A84="Renewal",100%,0%))</f>
        <v>2.6599999999999999E-2</v>
      </c>
      <c r="U84" s="68">
        <f t="shared" si="1"/>
        <v>8325.241399999999</v>
      </c>
    </row>
    <row r="85" spans="1:21" s="41" customFormat="1" ht="13.8" x14ac:dyDescent="0.3">
      <c r="A85" s="115" t="s">
        <v>21</v>
      </c>
      <c r="B85" s="116">
        <v>2000459925</v>
      </c>
      <c r="C85" s="116">
        <v>4.048</v>
      </c>
      <c r="D85" s="117">
        <v>57.4</v>
      </c>
      <c r="E85" s="117"/>
      <c r="F85" s="117">
        <v>450</v>
      </c>
      <c r="G85" s="117">
        <v>900</v>
      </c>
      <c r="H85" s="123"/>
      <c r="I85" s="117" t="s">
        <v>122</v>
      </c>
      <c r="J85" s="115">
        <v>374</v>
      </c>
      <c r="K85" s="115" t="s">
        <v>23</v>
      </c>
      <c r="L85" s="117" t="s">
        <v>24</v>
      </c>
      <c r="M85" s="66">
        <v>331218</v>
      </c>
      <c r="N85" s="66">
        <v>5769</v>
      </c>
      <c r="O85" s="66">
        <v>112614</v>
      </c>
      <c r="P85" s="66">
        <v>443833</v>
      </c>
      <c r="Q85" s="67">
        <v>0.4</v>
      </c>
      <c r="R85" s="66">
        <v>177533</v>
      </c>
      <c r="S85" s="66">
        <v>621366</v>
      </c>
      <c r="T85" s="106">
        <f>IF(A85="Upgrade",IF(OR(H85=4,H85=5),_xlfn.XLOOKUP(I85,'Renewal Rates'!$A$22:$A$27,'Renewal Rates'!$B$22:$B$27,'Renewal Rates'!$B$27,0),'Renewal Rates'!$F$7),IF(A85="Renewal",100%,0%))</f>
        <v>2.6599999999999999E-2</v>
      </c>
      <c r="U85" s="68">
        <f t="shared" si="1"/>
        <v>16528.335599999999</v>
      </c>
    </row>
    <row r="86" spans="1:21" s="41" customFormat="1" ht="13.8" x14ac:dyDescent="0.3">
      <c r="A86" s="115" t="s">
        <v>21</v>
      </c>
      <c r="B86" s="116">
        <v>3000028931</v>
      </c>
      <c r="C86" s="116">
        <v>4.048</v>
      </c>
      <c r="D86" s="117">
        <v>20.399999999999999</v>
      </c>
      <c r="E86" s="117"/>
      <c r="F86" s="117">
        <v>300</v>
      </c>
      <c r="G86" s="117">
        <v>900</v>
      </c>
      <c r="H86" s="123"/>
      <c r="I86" s="117" t="s">
        <v>122</v>
      </c>
      <c r="J86" s="115">
        <v>374</v>
      </c>
      <c r="K86" s="115" t="s">
        <v>23</v>
      </c>
      <c r="L86" s="117" t="s">
        <v>24</v>
      </c>
      <c r="M86" s="66">
        <v>131761</v>
      </c>
      <c r="N86" s="66">
        <v>6447</v>
      </c>
      <c r="O86" s="66">
        <v>44799</v>
      </c>
      <c r="P86" s="66">
        <v>176559</v>
      </c>
      <c r="Q86" s="67">
        <v>0.4</v>
      </c>
      <c r="R86" s="66">
        <v>70624</v>
      </c>
      <c r="S86" s="66">
        <v>247183</v>
      </c>
      <c r="T86" s="106">
        <f>IF(A86="Upgrade",IF(OR(H86=4,H86=5),_xlfn.XLOOKUP(I86,'Renewal Rates'!$A$22:$A$27,'Renewal Rates'!$B$22:$B$27,'Renewal Rates'!$B$27,0),'Renewal Rates'!$F$7),IF(A86="Renewal",100%,0%))</f>
        <v>2.6599999999999999E-2</v>
      </c>
      <c r="U86" s="68">
        <f t="shared" si="1"/>
        <v>6575.0677999999998</v>
      </c>
    </row>
    <row r="87" spans="1:21" s="41" customFormat="1" ht="13.8" x14ac:dyDescent="0.3">
      <c r="A87" s="115" t="s">
        <v>25</v>
      </c>
      <c r="B87" s="116" t="s">
        <v>22</v>
      </c>
      <c r="C87" s="116">
        <v>4.0039999999999996</v>
      </c>
      <c r="D87" s="117"/>
      <c r="E87" s="117">
        <v>36.4</v>
      </c>
      <c r="F87" s="117"/>
      <c r="G87" s="117">
        <v>750</v>
      </c>
      <c r="H87" s="123"/>
      <c r="I87" s="117" t="s">
        <v>122</v>
      </c>
      <c r="J87" s="115">
        <v>374</v>
      </c>
      <c r="K87" s="115" t="s">
        <v>23</v>
      </c>
      <c r="L87" s="117" t="s">
        <v>24</v>
      </c>
      <c r="M87" s="66">
        <v>157409</v>
      </c>
      <c r="N87" s="66">
        <v>4320</v>
      </c>
      <c r="O87" s="66">
        <v>53519</v>
      </c>
      <c r="P87" s="66">
        <v>210928</v>
      </c>
      <c r="Q87" s="67">
        <v>0.4</v>
      </c>
      <c r="R87" s="66">
        <v>84371</v>
      </c>
      <c r="S87" s="66">
        <v>295299</v>
      </c>
      <c r="T87" s="106">
        <f>IF(A87="Upgrade",IF(OR(H87=4,H87=5),_xlfn.XLOOKUP(I87,'Renewal Rates'!$A$22:$A$27,'Renewal Rates'!$B$22:$B$27,'Renewal Rates'!$B$27,0),'Renewal Rates'!$F$7),IF(A87="Renewal",100%,0%))</f>
        <v>0</v>
      </c>
      <c r="U87" s="68">
        <f t="shared" si="1"/>
        <v>0</v>
      </c>
    </row>
    <row r="88" spans="1:21" s="41" customFormat="1" ht="13.8" x14ac:dyDescent="0.3">
      <c r="A88" s="115" t="s">
        <v>21</v>
      </c>
      <c r="B88" s="116">
        <v>2000043106</v>
      </c>
      <c r="C88" s="116">
        <v>4.0469999999999997</v>
      </c>
      <c r="D88" s="117">
        <v>33.6</v>
      </c>
      <c r="E88" s="117"/>
      <c r="F88" s="117">
        <v>300</v>
      </c>
      <c r="G88" s="117">
        <v>675</v>
      </c>
      <c r="H88" s="123"/>
      <c r="I88" s="117" t="s">
        <v>122</v>
      </c>
      <c r="J88" s="115">
        <v>374</v>
      </c>
      <c r="K88" s="115" t="s">
        <v>23</v>
      </c>
      <c r="L88" s="117" t="s">
        <v>24</v>
      </c>
      <c r="M88" s="66">
        <v>171913</v>
      </c>
      <c r="N88" s="66">
        <v>5118</v>
      </c>
      <c r="O88" s="66">
        <v>58451</v>
      </c>
      <c r="P88" s="66">
        <v>230364</v>
      </c>
      <c r="Q88" s="67">
        <v>0.4</v>
      </c>
      <c r="R88" s="66">
        <v>92146</v>
      </c>
      <c r="S88" s="66">
        <v>322509</v>
      </c>
      <c r="T88" s="106">
        <f>IF(A88="Upgrade",IF(OR(H88=4,H88=5),_xlfn.XLOOKUP(I88,'Renewal Rates'!$A$22:$A$27,'Renewal Rates'!$B$22:$B$27,'Renewal Rates'!$B$27,0),'Renewal Rates'!$F$7),IF(A88="Renewal",100%,0%))</f>
        <v>2.6599999999999999E-2</v>
      </c>
      <c r="U88" s="68">
        <f t="shared" si="1"/>
        <v>8578.7394000000004</v>
      </c>
    </row>
    <row r="89" spans="1:21" s="41" customFormat="1" ht="13.8" x14ac:dyDescent="0.3">
      <c r="A89" s="115" t="s">
        <v>21</v>
      </c>
      <c r="B89" s="116">
        <v>2000474754</v>
      </c>
      <c r="C89" s="116">
        <v>4.0460000000000003</v>
      </c>
      <c r="D89" s="117">
        <v>35.6</v>
      </c>
      <c r="E89" s="117"/>
      <c r="F89" s="117">
        <v>225</v>
      </c>
      <c r="G89" s="117">
        <v>525</v>
      </c>
      <c r="H89" s="123"/>
      <c r="I89" s="117" t="s">
        <v>122</v>
      </c>
      <c r="J89" s="115">
        <v>374</v>
      </c>
      <c r="K89" s="115" t="s">
        <v>23</v>
      </c>
      <c r="L89" s="117" t="s">
        <v>24</v>
      </c>
      <c r="M89" s="66">
        <v>113865</v>
      </c>
      <c r="N89" s="66">
        <v>3200</v>
      </c>
      <c r="O89" s="66">
        <v>38714</v>
      </c>
      <c r="P89" s="66">
        <v>152580</v>
      </c>
      <c r="Q89" s="67">
        <v>0.4</v>
      </c>
      <c r="R89" s="66">
        <v>61032</v>
      </c>
      <c r="S89" s="66">
        <v>213612</v>
      </c>
      <c r="T89" s="106">
        <f>IF(A89="Upgrade",IF(OR(H89=4,H89=5),_xlfn.XLOOKUP(I89,'Renewal Rates'!$A$22:$A$27,'Renewal Rates'!$B$22:$B$27,'Renewal Rates'!$B$27,0),'Renewal Rates'!$F$7),IF(A89="Renewal",100%,0%))</f>
        <v>2.6599999999999999E-2</v>
      </c>
      <c r="U89" s="68">
        <f t="shared" si="1"/>
        <v>5682.0792000000001</v>
      </c>
    </row>
    <row r="90" spans="1:21" s="41" customFormat="1" ht="13.8" x14ac:dyDescent="0.3">
      <c r="A90" s="115" t="s">
        <v>21</v>
      </c>
      <c r="B90" s="116">
        <v>2000717035</v>
      </c>
      <c r="C90" s="116">
        <v>4.0460000000000003</v>
      </c>
      <c r="D90" s="117">
        <v>42.4</v>
      </c>
      <c r="E90" s="117"/>
      <c r="F90" s="117">
        <v>225</v>
      </c>
      <c r="G90" s="117">
        <v>525</v>
      </c>
      <c r="H90" s="123"/>
      <c r="I90" s="117" t="s">
        <v>122</v>
      </c>
      <c r="J90" s="115">
        <v>374</v>
      </c>
      <c r="K90" s="115" t="s">
        <v>23</v>
      </c>
      <c r="L90" s="117" t="s">
        <v>24</v>
      </c>
      <c r="M90" s="66">
        <v>139279</v>
      </c>
      <c r="N90" s="66">
        <v>3283</v>
      </c>
      <c r="O90" s="66">
        <v>47355</v>
      </c>
      <c r="P90" s="66">
        <v>186634</v>
      </c>
      <c r="Q90" s="67">
        <v>0.4</v>
      </c>
      <c r="R90" s="66">
        <v>74653</v>
      </c>
      <c r="S90" s="66">
        <v>261287</v>
      </c>
      <c r="T90" s="106">
        <f>IF(A90="Upgrade",IF(OR(H90=4,H90=5),_xlfn.XLOOKUP(I90,'Renewal Rates'!$A$22:$A$27,'Renewal Rates'!$B$22:$B$27,'Renewal Rates'!$B$27,0),'Renewal Rates'!$F$7),IF(A90="Renewal",100%,0%))</f>
        <v>2.6599999999999999E-2</v>
      </c>
      <c r="U90" s="68">
        <f t="shared" si="1"/>
        <v>6950.2341999999999</v>
      </c>
    </row>
    <row r="91" spans="1:21" s="41" customFormat="1" ht="13.8" x14ac:dyDescent="0.3">
      <c r="A91" s="115" t="s">
        <v>21</v>
      </c>
      <c r="B91" s="116">
        <v>2000282449</v>
      </c>
      <c r="C91" s="116">
        <v>4.0449999999999999</v>
      </c>
      <c r="D91" s="117">
        <v>74.7</v>
      </c>
      <c r="E91" s="117"/>
      <c r="F91" s="117">
        <v>225</v>
      </c>
      <c r="G91" s="117">
        <v>450</v>
      </c>
      <c r="H91" s="123"/>
      <c r="I91" s="117" t="s">
        <v>122</v>
      </c>
      <c r="J91" s="115">
        <v>374</v>
      </c>
      <c r="K91" s="115" t="s">
        <v>23</v>
      </c>
      <c r="L91" s="117" t="s">
        <v>24</v>
      </c>
      <c r="M91" s="66">
        <v>214168</v>
      </c>
      <c r="N91" s="66">
        <v>2867</v>
      </c>
      <c r="O91" s="66">
        <v>72817</v>
      </c>
      <c r="P91" s="66">
        <v>286985</v>
      </c>
      <c r="Q91" s="67">
        <v>0.4</v>
      </c>
      <c r="R91" s="66">
        <v>114794</v>
      </c>
      <c r="S91" s="66">
        <v>401780</v>
      </c>
      <c r="T91" s="106">
        <f>IF(A91="Upgrade",IF(OR(H91=4,H91=5),_xlfn.XLOOKUP(I91,'Renewal Rates'!$A$22:$A$27,'Renewal Rates'!$B$22:$B$27,'Renewal Rates'!$B$27,0),'Renewal Rates'!$F$7),IF(A91="Renewal",100%,0%))</f>
        <v>2.6599999999999999E-2</v>
      </c>
      <c r="U91" s="68">
        <f t="shared" si="1"/>
        <v>10687.348</v>
      </c>
    </row>
    <row r="92" spans="1:21" s="41" customFormat="1" ht="13.8" x14ac:dyDescent="0.3">
      <c r="A92" s="115" t="s">
        <v>21</v>
      </c>
      <c r="B92" s="116">
        <v>2000739753</v>
      </c>
      <c r="C92" s="116">
        <v>4.0529999999999999</v>
      </c>
      <c r="D92" s="117">
        <v>94.9</v>
      </c>
      <c r="E92" s="117"/>
      <c r="F92" s="117">
        <v>450</v>
      </c>
      <c r="G92" s="117">
        <v>750</v>
      </c>
      <c r="H92" s="123"/>
      <c r="I92" s="117" t="s">
        <v>122</v>
      </c>
      <c r="J92" s="115">
        <v>374</v>
      </c>
      <c r="K92" s="115" t="s">
        <v>23</v>
      </c>
      <c r="L92" s="117" t="s">
        <v>24</v>
      </c>
      <c r="M92" s="66">
        <v>378049</v>
      </c>
      <c r="N92" s="66">
        <v>3983</v>
      </c>
      <c r="O92" s="66">
        <v>128537</v>
      </c>
      <c r="P92" s="66">
        <v>506586</v>
      </c>
      <c r="Q92" s="67">
        <v>0.4</v>
      </c>
      <c r="R92" s="66">
        <v>202634</v>
      </c>
      <c r="S92" s="66">
        <v>709220</v>
      </c>
      <c r="T92" s="106">
        <f>IF(A92="Upgrade",IF(OR(H92=4,H92=5),_xlfn.XLOOKUP(I92,'Renewal Rates'!$A$22:$A$27,'Renewal Rates'!$B$22:$B$27,'Renewal Rates'!$B$27,0),'Renewal Rates'!$F$7),IF(A92="Renewal",100%,0%))</f>
        <v>2.6599999999999999E-2</v>
      </c>
      <c r="U92" s="68">
        <f t="shared" si="1"/>
        <v>18865.252</v>
      </c>
    </row>
    <row r="93" spans="1:21" s="41" customFormat="1" ht="13.8" x14ac:dyDescent="0.3">
      <c r="A93" s="115" t="s">
        <v>21</v>
      </c>
      <c r="B93" s="116">
        <v>2000044430</v>
      </c>
      <c r="C93" s="116">
        <v>4.0519999999999996</v>
      </c>
      <c r="D93" s="117">
        <v>75.7</v>
      </c>
      <c r="E93" s="117"/>
      <c r="F93" s="117">
        <v>450</v>
      </c>
      <c r="G93" s="117">
        <v>750</v>
      </c>
      <c r="H93" s="123"/>
      <c r="I93" s="117" t="s">
        <v>122</v>
      </c>
      <c r="J93" s="115">
        <v>374</v>
      </c>
      <c r="K93" s="115" t="s">
        <v>23</v>
      </c>
      <c r="L93" s="117" t="s">
        <v>24</v>
      </c>
      <c r="M93" s="66">
        <v>313040</v>
      </c>
      <c r="N93" s="66">
        <v>4135</v>
      </c>
      <c r="O93" s="66">
        <v>106433</v>
      </c>
      <c r="P93" s="66">
        <v>419473</v>
      </c>
      <c r="Q93" s="67">
        <v>0.4</v>
      </c>
      <c r="R93" s="66">
        <v>167789</v>
      </c>
      <c r="S93" s="66">
        <v>587262</v>
      </c>
      <c r="T93" s="106">
        <f>IF(A93="Upgrade",IF(OR(H93=4,H93=5),_xlfn.XLOOKUP(I93,'Renewal Rates'!$A$22:$A$27,'Renewal Rates'!$B$22:$B$27,'Renewal Rates'!$B$27,0),'Renewal Rates'!$F$7),IF(A93="Renewal",100%,0%))</f>
        <v>2.6599999999999999E-2</v>
      </c>
      <c r="U93" s="68">
        <f t="shared" si="1"/>
        <v>15621.169199999998</v>
      </c>
    </row>
    <row r="94" spans="1:21" s="41" customFormat="1" ht="13.8" x14ac:dyDescent="0.3">
      <c r="A94" s="115" t="s">
        <v>21</v>
      </c>
      <c r="B94" s="116">
        <v>2000543089</v>
      </c>
      <c r="C94" s="116">
        <v>4.0540000000000003</v>
      </c>
      <c r="D94" s="117">
        <v>22.2</v>
      </c>
      <c r="E94" s="117"/>
      <c r="F94" s="117">
        <v>225</v>
      </c>
      <c r="G94" s="117">
        <v>375</v>
      </c>
      <c r="H94" s="123"/>
      <c r="I94" s="117" t="s">
        <v>122</v>
      </c>
      <c r="J94" s="115">
        <v>374</v>
      </c>
      <c r="K94" s="115" t="s">
        <v>23</v>
      </c>
      <c r="L94" s="117" t="s">
        <v>24</v>
      </c>
      <c r="M94" s="66">
        <v>66989</v>
      </c>
      <c r="N94" s="66">
        <v>3012</v>
      </c>
      <c r="O94" s="66">
        <v>22776</v>
      </c>
      <c r="P94" s="66">
        <v>89765</v>
      </c>
      <c r="Q94" s="67">
        <v>0.4</v>
      </c>
      <c r="R94" s="66">
        <v>35906</v>
      </c>
      <c r="S94" s="66">
        <v>125671</v>
      </c>
      <c r="T94" s="106">
        <f>IF(A94="Upgrade",IF(OR(H94=4,H94=5),_xlfn.XLOOKUP(I94,'Renewal Rates'!$A$22:$A$27,'Renewal Rates'!$B$22:$B$27,'Renewal Rates'!$B$27,0),'Renewal Rates'!$F$7),IF(A94="Renewal",100%,0%))</f>
        <v>2.6599999999999999E-2</v>
      </c>
      <c r="U94" s="68">
        <f t="shared" si="1"/>
        <v>3342.8485999999998</v>
      </c>
    </row>
    <row r="95" spans="1:21" s="41" customFormat="1" ht="13.8" x14ac:dyDescent="0.3">
      <c r="A95" s="115" t="s">
        <v>21</v>
      </c>
      <c r="B95" s="116">
        <v>2000482082</v>
      </c>
      <c r="C95" s="116">
        <v>4.0540000000000003</v>
      </c>
      <c r="D95" s="117">
        <v>63.7</v>
      </c>
      <c r="E95" s="117"/>
      <c r="F95" s="117">
        <v>225</v>
      </c>
      <c r="G95" s="117">
        <v>375</v>
      </c>
      <c r="H95" s="123"/>
      <c r="I95" s="117" t="s">
        <v>122</v>
      </c>
      <c r="J95" s="115">
        <v>374</v>
      </c>
      <c r="K95" s="115" t="s">
        <v>23</v>
      </c>
      <c r="L95" s="117" t="s">
        <v>24</v>
      </c>
      <c r="M95" s="66">
        <v>138978</v>
      </c>
      <c r="N95" s="66">
        <v>2183</v>
      </c>
      <c r="O95" s="66">
        <v>47252</v>
      </c>
      <c r="P95" s="66">
        <v>186230</v>
      </c>
      <c r="Q95" s="67">
        <v>0.4</v>
      </c>
      <c r="R95" s="66">
        <v>74492</v>
      </c>
      <c r="S95" s="66">
        <v>260722</v>
      </c>
      <c r="T95" s="106">
        <f>IF(A95="Upgrade",IF(OR(H95=4,H95=5),_xlfn.XLOOKUP(I95,'Renewal Rates'!$A$22:$A$27,'Renewal Rates'!$B$22:$B$27,'Renewal Rates'!$B$27,0),'Renewal Rates'!$F$7),IF(A95="Renewal",100%,0%))</f>
        <v>2.6599999999999999E-2</v>
      </c>
      <c r="U95" s="68">
        <f t="shared" si="1"/>
        <v>6935.2051999999994</v>
      </c>
    </row>
    <row r="96" spans="1:21" s="41" customFormat="1" ht="13.8" x14ac:dyDescent="0.3">
      <c r="A96" s="115" t="s">
        <v>21</v>
      </c>
      <c r="B96" s="116">
        <v>2000879364</v>
      </c>
      <c r="C96" s="116">
        <v>4.0510000000000002</v>
      </c>
      <c r="D96" s="117">
        <v>77</v>
      </c>
      <c r="E96" s="117"/>
      <c r="F96" s="117">
        <v>450</v>
      </c>
      <c r="G96" s="117">
        <v>675</v>
      </c>
      <c r="H96" s="123"/>
      <c r="I96" s="117" t="s">
        <v>122</v>
      </c>
      <c r="J96" s="115">
        <v>374</v>
      </c>
      <c r="K96" s="115" t="s">
        <v>23</v>
      </c>
      <c r="L96" s="117" t="s">
        <v>24</v>
      </c>
      <c r="M96" s="66">
        <v>303175</v>
      </c>
      <c r="N96" s="66">
        <v>3937</v>
      </c>
      <c r="O96" s="66">
        <v>103080</v>
      </c>
      <c r="P96" s="66">
        <v>406255</v>
      </c>
      <c r="Q96" s="67">
        <v>0.4</v>
      </c>
      <c r="R96" s="66">
        <v>162502</v>
      </c>
      <c r="S96" s="66">
        <v>568756</v>
      </c>
      <c r="T96" s="106">
        <f>IF(A96="Upgrade",IF(OR(H96=4,H96=5),_xlfn.XLOOKUP(I96,'Renewal Rates'!$A$22:$A$27,'Renewal Rates'!$B$22:$B$27,'Renewal Rates'!$B$27,0),'Renewal Rates'!$F$7),IF(A96="Renewal",100%,0%))</f>
        <v>2.6599999999999999E-2</v>
      </c>
      <c r="U96" s="68">
        <f t="shared" si="1"/>
        <v>15128.909599999999</v>
      </c>
    </row>
    <row r="97" spans="1:21" s="41" customFormat="1" ht="13.8" x14ac:dyDescent="0.3">
      <c r="A97" s="115" t="s">
        <v>21</v>
      </c>
      <c r="B97" s="116">
        <v>2000907172</v>
      </c>
      <c r="C97" s="116">
        <v>4.05</v>
      </c>
      <c r="D97" s="117">
        <v>44.6</v>
      </c>
      <c r="E97" s="117"/>
      <c r="F97" s="117">
        <v>225</v>
      </c>
      <c r="G97" s="117">
        <v>525</v>
      </c>
      <c r="H97" s="123"/>
      <c r="I97" s="117" t="s">
        <v>122</v>
      </c>
      <c r="J97" s="115">
        <v>374</v>
      </c>
      <c r="K97" s="115" t="s">
        <v>23</v>
      </c>
      <c r="L97" s="117" t="s">
        <v>24</v>
      </c>
      <c r="M97" s="66">
        <v>141212</v>
      </c>
      <c r="N97" s="66">
        <v>3163</v>
      </c>
      <c r="O97" s="66">
        <v>48012</v>
      </c>
      <c r="P97" s="66">
        <v>189224</v>
      </c>
      <c r="Q97" s="67">
        <v>0.4</v>
      </c>
      <c r="R97" s="66">
        <v>75689</v>
      </c>
      <c r="S97" s="66">
        <v>264913</v>
      </c>
      <c r="T97" s="106">
        <f>IF(A97="Upgrade",IF(OR(H97=4,H97=5),_xlfn.XLOOKUP(I97,'Renewal Rates'!$A$22:$A$27,'Renewal Rates'!$B$22:$B$27,'Renewal Rates'!$B$27,0),'Renewal Rates'!$F$7),IF(A97="Renewal",100%,0%))</f>
        <v>2.6599999999999999E-2</v>
      </c>
      <c r="U97" s="68">
        <f t="shared" si="1"/>
        <v>7046.6857999999993</v>
      </c>
    </row>
    <row r="98" spans="1:21" s="41" customFormat="1" ht="13.8" x14ac:dyDescent="0.3">
      <c r="A98" s="115" t="s">
        <v>21</v>
      </c>
      <c r="B98" s="116">
        <v>2000804527</v>
      </c>
      <c r="C98" s="116">
        <v>4.05</v>
      </c>
      <c r="D98" s="117">
        <v>83.5</v>
      </c>
      <c r="E98" s="117"/>
      <c r="F98" s="117">
        <v>225</v>
      </c>
      <c r="G98" s="117">
        <v>525</v>
      </c>
      <c r="H98" s="123"/>
      <c r="I98" s="117" t="s">
        <v>122</v>
      </c>
      <c r="J98" s="115">
        <v>374</v>
      </c>
      <c r="K98" s="115" t="s">
        <v>23</v>
      </c>
      <c r="L98" s="117" t="s">
        <v>24</v>
      </c>
      <c r="M98" s="66">
        <v>252299</v>
      </c>
      <c r="N98" s="66">
        <v>3022</v>
      </c>
      <c r="O98" s="66">
        <v>85782</v>
      </c>
      <c r="P98" s="66">
        <v>338081</v>
      </c>
      <c r="Q98" s="67">
        <v>0.4</v>
      </c>
      <c r="R98" s="66">
        <v>135232</v>
      </c>
      <c r="S98" s="66">
        <v>473313</v>
      </c>
      <c r="T98" s="106">
        <f>IF(A98="Upgrade",IF(OR(H98=4,H98=5),_xlfn.XLOOKUP(I98,'Renewal Rates'!$A$22:$A$27,'Renewal Rates'!$B$22:$B$27,'Renewal Rates'!$B$27,0),'Renewal Rates'!$F$7),IF(A98="Renewal",100%,0%))</f>
        <v>2.6599999999999999E-2</v>
      </c>
      <c r="U98" s="68">
        <f t="shared" si="1"/>
        <v>12590.1258</v>
      </c>
    </row>
    <row r="99" spans="1:21" s="41" customFormat="1" ht="13.8" x14ac:dyDescent="0.3">
      <c r="A99" s="115" t="s">
        <v>21</v>
      </c>
      <c r="B99" s="116">
        <v>2000858710</v>
      </c>
      <c r="C99" s="116">
        <v>4.05</v>
      </c>
      <c r="D99" s="117">
        <v>56.3</v>
      </c>
      <c r="E99" s="117"/>
      <c r="F99" s="117">
        <v>225</v>
      </c>
      <c r="G99" s="117">
        <v>525</v>
      </c>
      <c r="H99" s="123"/>
      <c r="I99" s="117" t="s">
        <v>122</v>
      </c>
      <c r="J99" s="115">
        <v>374</v>
      </c>
      <c r="K99" s="115" t="s">
        <v>23</v>
      </c>
      <c r="L99" s="117" t="s">
        <v>24</v>
      </c>
      <c r="M99" s="66">
        <v>189729</v>
      </c>
      <c r="N99" s="66">
        <v>3368</v>
      </c>
      <c r="O99" s="66">
        <v>64508</v>
      </c>
      <c r="P99" s="66">
        <v>254237</v>
      </c>
      <c r="Q99" s="67">
        <v>0.4</v>
      </c>
      <c r="R99" s="66">
        <v>101695</v>
      </c>
      <c r="S99" s="66">
        <v>355932</v>
      </c>
      <c r="T99" s="106">
        <f>IF(A99="Upgrade",IF(OR(H99=4,H99=5),_xlfn.XLOOKUP(I99,'Renewal Rates'!$A$22:$A$27,'Renewal Rates'!$B$22:$B$27,'Renewal Rates'!$B$27,0),'Renewal Rates'!$F$7),IF(A99="Renewal",100%,0%))</f>
        <v>2.6599999999999999E-2</v>
      </c>
      <c r="U99" s="68">
        <f t="shared" si="1"/>
        <v>9467.7911999999997</v>
      </c>
    </row>
    <row r="100" spans="1:21" s="41" customFormat="1" ht="13.8" x14ac:dyDescent="0.3">
      <c r="A100" s="115" t="s">
        <v>21</v>
      </c>
      <c r="B100" s="116">
        <v>2000878521</v>
      </c>
      <c r="C100" s="116">
        <v>3.0089999999999999</v>
      </c>
      <c r="D100" s="117">
        <v>44.7</v>
      </c>
      <c r="E100" s="117"/>
      <c r="F100" s="117">
        <v>300</v>
      </c>
      <c r="G100" s="117">
        <v>600</v>
      </c>
      <c r="H100" s="123"/>
      <c r="I100" s="117" t="s">
        <v>122</v>
      </c>
      <c r="J100" s="115">
        <v>374</v>
      </c>
      <c r="K100" s="115" t="s">
        <v>23</v>
      </c>
      <c r="L100" s="117" t="s">
        <v>24</v>
      </c>
      <c r="M100" s="66">
        <v>164407</v>
      </c>
      <c r="N100" s="66">
        <v>3676</v>
      </c>
      <c r="O100" s="66">
        <v>55898</v>
      </c>
      <c r="P100" s="66">
        <v>220305</v>
      </c>
      <c r="Q100" s="67">
        <v>0.4</v>
      </c>
      <c r="R100" s="66">
        <v>88122</v>
      </c>
      <c r="S100" s="66">
        <v>308427</v>
      </c>
      <c r="T100" s="106">
        <f>IF(A100="Upgrade",IF(OR(H100=4,H100=5),_xlfn.XLOOKUP(I100,'Renewal Rates'!$A$22:$A$27,'Renewal Rates'!$B$22:$B$27,'Renewal Rates'!$B$27,0),'Renewal Rates'!$F$7),IF(A100="Renewal",100%,0%))</f>
        <v>2.6599999999999999E-2</v>
      </c>
      <c r="U100" s="68">
        <f t="shared" si="1"/>
        <v>8204.1581999999999</v>
      </c>
    </row>
    <row r="101" spans="1:21" s="41" customFormat="1" ht="13.8" x14ac:dyDescent="0.3">
      <c r="A101" s="115" t="s">
        <v>21</v>
      </c>
      <c r="B101" s="116">
        <v>2000712286</v>
      </c>
      <c r="C101" s="116">
        <v>4.0549999999999997</v>
      </c>
      <c r="D101" s="117">
        <v>40.4</v>
      </c>
      <c r="E101" s="117"/>
      <c r="F101" s="117">
        <v>300</v>
      </c>
      <c r="G101" s="117">
        <v>525</v>
      </c>
      <c r="H101" s="123"/>
      <c r="I101" s="117" t="s">
        <v>122</v>
      </c>
      <c r="J101" s="115">
        <v>374</v>
      </c>
      <c r="K101" s="115" t="s">
        <v>23</v>
      </c>
      <c r="L101" s="117" t="s">
        <v>24</v>
      </c>
      <c r="M101" s="66">
        <v>153869</v>
      </c>
      <c r="N101" s="66">
        <v>3810</v>
      </c>
      <c r="O101" s="66">
        <v>52316</v>
      </c>
      <c r="P101" s="66">
        <v>206185</v>
      </c>
      <c r="Q101" s="67">
        <v>0.4</v>
      </c>
      <c r="R101" s="66">
        <v>82474</v>
      </c>
      <c r="S101" s="66">
        <v>288659</v>
      </c>
      <c r="T101" s="106">
        <f>IF(A101="Upgrade",IF(OR(H101=4,H101=5),_xlfn.XLOOKUP(I101,'Renewal Rates'!$A$22:$A$27,'Renewal Rates'!$B$22:$B$27,'Renewal Rates'!$B$27,0),'Renewal Rates'!$F$7),IF(A101="Renewal",100%,0%))</f>
        <v>2.6599999999999999E-2</v>
      </c>
      <c r="U101" s="68">
        <f t="shared" si="1"/>
        <v>7678.3293999999996</v>
      </c>
    </row>
    <row r="102" spans="1:21" s="41" customFormat="1" ht="13.8" x14ac:dyDescent="0.3">
      <c r="A102" s="115" t="s">
        <v>21</v>
      </c>
      <c r="B102" s="116">
        <v>2000136402</v>
      </c>
      <c r="C102" s="116">
        <v>3.0009999999999999</v>
      </c>
      <c r="D102" s="117">
        <v>43.8</v>
      </c>
      <c r="E102" s="117"/>
      <c r="F102" s="117">
        <v>450</v>
      </c>
      <c r="G102" s="117">
        <v>825</v>
      </c>
      <c r="H102" s="123"/>
      <c r="I102" s="117" t="s">
        <v>122</v>
      </c>
      <c r="J102" s="115">
        <v>374</v>
      </c>
      <c r="K102" s="115" t="s">
        <v>23</v>
      </c>
      <c r="L102" s="117" t="s">
        <v>24</v>
      </c>
      <c r="M102" s="66">
        <v>236471</v>
      </c>
      <c r="N102" s="66">
        <v>5395</v>
      </c>
      <c r="O102" s="66">
        <v>80400</v>
      </c>
      <c r="P102" s="66">
        <v>316871</v>
      </c>
      <c r="Q102" s="67">
        <v>0.4</v>
      </c>
      <c r="R102" s="66">
        <v>126748</v>
      </c>
      <c r="S102" s="66">
        <v>443619</v>
      </c>
      <c r="T102" s="106">
        <f>IF(A102="Upgrade",IF(OR(H102=4,H102=5),_xlfn.XLOOKUP(I102,'Renewal Rates'!$A$22:$A$27,'Renewal Rates'!$B$22:$B$27,'Renewal Rates'!$B$27,0),'Renewal Rates'!$F$7),IF(A102="Renewal",100%,0%))</f>
        <v>2.6599999999999999E-2</v>
      </c>
      <c r="U102" s="68">
        <f t="shared" si="1"/>
        <v>11800.2654</v>
      </c>
    </row>
    <row r="103" spans="1:21" s="41" customFormat="1" ht="13.8" x14ac:dyDescent="0.3">
      <c r="A103" s="115" t="s">
        <v>21</v>
      </c>
      <c r="B103" s="116">
        <v>3000146073</v>
      </c>
      <c r="C103" s="116">
        <v>4.0229999999999997</v>
      </c>
      <c r="D103" s="117">
        <v>22.1</v>
      </c>
      <c r="E103" s="117"/>
      <c r="F103" s="117">
        <v>225</v>
      </c>
      <c r="G103" s="117">
        <v>600</v>
      </c>
      <c r="H103" s="123"/>
      <c r="I103" s="117" t="s">
        <v>122</v>
      </c>
      <c r="J103" s="115">
        <v>374</v>
      </c>
      <c r="K103" s="115" t="s">
        <v>23</v>
      </c>
      <c r="L103" s="117" t="s">
        <v>24</v>
      </c>
      <c r="M103" s="66">
        <v>85788</v>
      </c>
      <c r="N103" s="66">
        <v>3876</v>
      </c>
      <c r="O103" s="66">
        <v>29168</v>
      </c>
      <c r="P103" s="66">
        <v>114956</v>
      </c>
      <c r="Q103" s="67">
        <v>0.4</v>
      </c>
      <c r="R103" s="66">
        <v>45982</v>
      </c>
      <c r="S103" s="66">
        <v>160939</v>
      </c>
      <c r="T103" s="106">
        <f>IF(A103="Upgrade",IF(OR(H103=4,H103=5),_xlfn.XLOOKUP(I103,'Renewal Rates'!$A$22:$A$27,'Renewal Rates'!$B$22:$B$27,'Renewal Rates'!$B$27,0),'Renewal Rates'!$F$7),IF(A103="Renewal",100%,0%))</f>
        <v>2.6599999999999999E-2</v>
      </c>
      <c r="U103" s="68">
        <f t="shared" si="1"/>
        <v>4280.9773999999998</v>
      </c>
    </row>
    <row r="104" spans="1:21" s="41" customFormat="1" ht="13.8" x14ac:dyDescent="0.3">
      <c r="A104" s="115" t="s">
        <v>21</v>
      </c>
      <c r="B104" s="116">
        <v>2000414229</v>
      </c>
      <c r="C104" s="116">
        <v>4.0229999999999997</v>
      </c>
      <c r="D104" s="117">
        <v>35</v>
      </c>
      <c r="E104" s="117"/>
      <c r="F104" s="117">
        <v>225</v>
      </c>
      <c r="G104" s="117">
        <v>600</v>
      </c>
      <c r="H104" s="123"/>
      <c r="I104" s="117" t="s">
        <v>122</v>
      </c>
      <c r="J104" s="115">
        <v>374</v>
      </c>
      <c r="K104" s="115" t="s">
        <v>23</v>
      </c>
      <c r="L104" s="117" t="s">
        <v>24</v>
      </c>
      <c r="M104" s="66">
        <v>138000</v>
      </c>
      <c r="N104" s="66">
        <v>3940</v>
      </c>
      <c r="O104" s="66">
        <v>46920</v>
      </c>
      <c r="P104" s="66">
        <v>184919</v>
      </c>
      <c r="Q104" s="67">
        <v>0.4</v>
      </c>
      <c r="R104" s="66">
        <v>73968</v>
      </c>
      <c r="S104" s="66">
        <v>258887</v>
      </c>
      <c r="T104" s="106">
        <f>IF(A104="Upgrade",IF(OR(H104=4,H104=5),_xlfn.XLOOKUP(I104,'Renewal Rates'!$A$22:$A$27,'Renewal Rates'!$B$22:$B$27,'Renewal Rates'!$B$27,0),'Renewal Rates'!$F$7),IF(A104="Renewal",100%,0%))</f>
        <v>2.6599999999999999E-2</v>
      </c>
      <c r="U104" s="68">
        <f t="shared" si="1"/>
        <v>6886.3941999999997</v>
      </c>
    </row>
    <row r="105" spans="1:21" s="41" customFormat="1" ht="13.8" x14ac:dyDescent="0.3">
      <c r="A105" s="115" t="s">
        <v>21</v>
      </c>
      <c r="B105" s="116">
        <v>2000313718</v>
      </c>
      <c r="C105" s="116">
        <v>4.0229999999999997</v>
      </c>
      <c r="D105" s="117">
        <v>23.9</v>
      </c>
      <c r="E105" s="117"/>
      <c r="F105" s="117">
        <v>225</v>
      </c>
      <c r="G105" s="117">
        <v>600</v>
      </c>
      <c r="H105" s="123"/>
      <c r="I105" s="117" t="s">
        <v>122</v>
      </c>
      <c r="J105" s="115">
        <v>374</v>
      </c>
      <c r="K105" s="115" t="s">
        <v>23</v>
      </c>
      <c r="L105" s="117" t="s">
        <v>24</v>
      </c>
      <c r="M105" s="66">
        <v>107094</v>
      </c>
      <c r="N105" s="66">
        <v>4473</v>
      </c>
      <c r="O105" s="66">
        <v>36412</v>
      </c>
      <c r="P105" s="66">
        <v>143506</v>
      </c>
      <c r="Q105" s="67">
        <v>0.4</v>
      </c>
      <c r="R105" s="66">
        <v>57402</v>
      </c>
      <c r="S105" s="66">
        <v>200908</v>
      </c>
      <c r="T105" s="106">
        <f>IF(A105="Upgrade",IF(OR(H105=4,H105=5),_xlfn.XLOOKUP(I105,'Renewal Rates'!$A$22:$A$27,'Renewal Rates'!$B$22:$B$27,'Renewal Rates'!$B$27,0),'Renewal Rates'!$F$7),IF(A105="Renewal",100%,0%))</f>
        <v>2.6599999999999999E-2</v>
      </c>
      <c r="U105" s="68">
        <f t="shared" si="1"/>
        <v>5344.1527999999998</v>
      </c>
    </row>
    <row r="106" spans="1:21" s="41" customFormat="1" ht="13.8" x14ac:dyDescent="0.3">
      <c r="A106" s="115" t="s">
        <v>21</v>
      </c>
      <c r="B106" s="116">
        <v>2000832946</v>
      </c>
      <c r="C106" s="116">
        <v>4.0220000000000002</v>
      </c>
      <c r="D106" s="117">
        <v>80.3</v>
      </c>
      <c r="E106" s="117"/>
      <c r="F106" s="117">
        <v>300</v>
      </c>
      <c r="G106" s="117">
        <v>600</v>
      </c>
      <c r="H106" s="123"/>
      <c r="I106" s="117" t="s">
        <v>122</v>
      </c>
      <c r="J106" s="115">
        <v>374</v>
      </c>
      <c r="K106" s="115" t="s">
        <v>23</v>
      </c>
      <c r="L106" s="117" t="s">
        <v>24</v>
      </c>
      <c r="M106" s="66">
        <v>261549</v>
      </c>
      <c r="N106" s="66">
        <v>3257</v>
      </c>
      <c r="O106" s="66">
        <v>88927</v>
      </c>
      <c r="P106" s="66">
        <v>350475</v>
      </c>
      <c r="Q106" s="67">
        <v>0.4</v>
      </c>
      <c r="R106" s="66">
        <v>140190</v>
      </c>
      <c r="S106" s="66">
        <v>490665</v>
      </c>
      <c r="T106" s="106">
        <f>IF(A106="Upgrade",IF(OR(H106=4,H106=5),_xlfn.XLOOKUP(I106,'Renewal Rates'!$A$22:$A$27,'Renewal Rates'!$B$22:$B$27,'Renewal Rates'!$B$27,0),'Renewal Rates'!$F$7),IF(A106="Renewal",100%,0%))</f>
        <v>2.6599999999999999E-2</v>
      </c>
      <c r="U106" s="68">
        <f t="shared" si="1"/>
        <v>13051.688999999998</v>
      </c>
    </row>
    <row r="107" spans="1:21" s="41" customFormat="1" ht="13.8" x14ac:dyDescent="0.3">
      <c r="A107" s="115" t="s">
        <v>21</v>
      </c>
      <c r="B107" s="116">
        <v>2000651925</v>
      </c>
      <c r="C107" s="116">
        <v>4.0209999999999999</v>
      </c>
      <c r="D107" s="117">
        <v>35.1</v>
      </c>
      <c r="E107" s="117"/>
      <c r="F107" s="117">
        <v>300</v>
      </c>
      <c r="G107" s="117">
        <v>525</v>
      </c>
      <c r="H107" s="123"/>
      <c r="I107" s="117" t="s">
        <v>122</v>
      </c>
      <c r="J107" s="115">
        <v>374</v>
      </c>
      <c r="K107" s="115" t="s">
        <v>23</v>
      </c>
      <c r="L107" s="117" t="s">
        <v>24</v>
      </c>
      <c r="M107" s="66">
        <v>113404</v>
      </c>
      <c r="N107" s="66">
        <v>3235</v>
      </c>
      <c r="O107" s="66">
        <v>38557</v>
      </c>
      <c r="P107" s="66">
        <v>151961</v>
      </c>
      <c r="Q107" s="67">
        <v>0.4</v>
      </c>
      <c r="R107" s="66">
        <v>60785</v>
      </c>
      <c r="S107" s="66">
        <v>212746</v>
      </c>
      <c r="T107" s="106">
        <f>IF(A107="Upgrade",IF(OR(H107=4,H107=5),_xlfn.XLOOKUP(I107,'Renewal Rates'!$A$22:$A$27,'Renewal Rates'!$B$22:$B$27,'Renewal Rates'!$B$27,0),'Renewal Rates'!$F$7),IF(A107="Renewal",100%,0%))</f>
        <v>2.6599999999999999E-2</v>
      </c>
      <c r="U107" s="68">
        <f t="shared" si="1"/>
        <v>5659.0436</v>
      </c>
    </row>
    <row r="108" spans="1:21" s="41" customFormat="1" ht="13.8" x14ac:dyDescent="0.3">
      <c r="A108" s="115" t="s">
        <v>21</v>
      </c>
      <c r="B108" s="116">
        <v>2000328535</v>
      </c>
      <c r="C108" s="116">
        <v>4.0209999999999999</v>
      </c>
      <c r="D108" s="117">
        <v>64.400000000000006</v>
      </c>
      <c r="E108" s="117"/>
      <c r="F108" s="117">
        <v>225</v>
      </c>
      <c r="G108" s="117">
        <v>525</v>
      </c>
      <c r="H108" s="123"/>
      <c r="I108" s="117" t="s">
        <v>122</v>
      </c>
      <c r="J108" s="115">
        <v>374</v>
      </c>
      <c r="K108" s="115" t="s">
        <v>23</v>
      </c>
      <c r="L108" s="117" t="s">
        <v>24</v>
      </c>
      <c r="M108" s="66">
        <v>183457</v>
      </c>
      <c r="N108" s="66">
        <v>2848</v>
      </c>
      <c r="O108" s="66">
        <v>62375</v>
      </c>
      <c r="P108" s="66">
        <v>245832</v>
      </c>
      <c r="Q108" s="67">
        <v>0.4</v>
      </c>
      <c r="R108" s="66">
        <v>98333</v>
      </c>
      <c r="S108" s="66">
        <v>344165</v>
      </c>
      <c r="T108" s="106">
        <f>IF(A108="Upgrade",IF(OR(H108=4,H108=5),_xlfn.XLOOKUP(I108,'Renewal Rates'!$A$22:$A$27,'Renewal Rates'!$B$22:$B$27,'Renewal Rates'!$B$27,0),'Renewal Rates'!$F$7),IF(A108="Renewal",100%,0%))</f>
        <v>2.6599999999999999E-2</v>
      </c>
      <c r="U108" s="68">
        <f t="shared" si="1"/>
        <v>9154.7889999999989</v>
      </c>
    </row>
    <row r="109" spans="1:21" s="41" customFormat="1" ht="13.8" x14ac:dyDescent="0.3">
      <c r="A109" s="115" t="s">
        <v>21</v>
      </c>
      <c r="B109" s="116">
        <v>2000224912</v>
      </c>
      <c r="C109" s="116">
        <v>4.0430000000000001</v>
      </c>
      <c r="D109" s="117">
        <v>43.2</v>
      </c>
      <c r="E109" s="117"/>
      <c r="F109" s="117">
        <v>600</v>
      </c>
      <c r="G109" s="117">
        <v>975</v>
      </c>
      <c r="H109" s="123"/>
      <c r="I109" s="117" t="s">
        <v>122</v>
      </c>
      <c r="J109" s="115">
        <v>374</v>
      </c>
      <c r="K109" s="115" t="s">
        <v>23</v>
      </c>
      <c r="L109" s="117" t="s">
        <v>24</v>
      </c>
      <c r="M109" s="66">
        <v>299601</v>
      </c>
      <c r="N109" s="66">
        <v>6934</v>
      </c>
      <c r="O109" s="66">
        <v>101864</v>
      </c>
      <c r="P109" s="66">
        <v>401465</v>
      </c>
      <c r="Q109" s="67">
        <v>0.4</v>
      </c>
      <c r="R109" s="66">
        <v>160586</v>
      </c>
      <c r="S109" s="66">
        <v>562052</v>
      </c>
      <c r="T109" s="106">
        <f>IF(A109="Upgrade",IF(OR(H109=4,H109=5),_xlfn.XLOOKUP(I109,'Renewal Rates'!$A$22:$A$27,'Renewal Rates'!$B$22:$B$27,'Renewal Rates'!$B$27,0),'Renewal Rates'!$F$7),IF(A109="Renewal",100%,0%))</f>
        <v>2.6599999999999999E-2</v>
      </c>
      <c r="U109" s="68">
        <f t="shared" si="1"/>
        <v>14950.583199999999</v>
      </c>
    </row>
    <row r="110" spans="1:21" s="41" customFormat="1" ht="13.8" x14ac:dyDescent="0.3">
      <c r="A110" s="115" t="s">
        <v>21</v>
      </c>
      <c r="B110" s="116">
        <v>2000092098</v>
      </c>
      <c r="C110" s="116">
        <v>4.0170000000000003</v>
      </c>
      <c r="D110" s="117">
        <v>40.4</v>
      </c>
      <c r="E110" s="117"/>
      <c r="F110" s="117">
        <v>525</v>
      </c>
      <c r="G110" s="117">
        <v>750</v>
      </c>
      <c r="H110" s="123"/>
      <c r="I110" s="117" t="s">
        <v>122</v>
      </c>
      <c r="J110" s="115">
        <v>374</v>
      </c>
      <c r="K110" s="115" t="s">
        <v>23</v>
      </c>
      <c r="L110" s="117" t="s">
        <v>24</v>
      </c>
      <c r="M110" s="66">
        <v>182186</v>
      </c>
      <c r="N110" s="66">
        <v>4513</v>
      </c>
      <c r="O110" s="66">
        <v>61943</v>
      </c>
      <c r="P110" s="66">
        <v>244129</v>
      </c>
      <c r="Q110" s="67">
        <v>0.4</v>
      </c>
      <c r="R110" s="66">
        <v>97652</v>
      </c>
      <c r="S110" s="66">
        <v>341781</v>
      </c>
      <c r="T110" s="106">
        <f>IF(A110="Upgrade",IF(OR(H110=4,H110=5),_xlfn.XLOOKUP(I110,'Renewal Rates'!$A$22:$A$27,'Renewal Rates'!$B$22:$B$27,'Renewal Rates'!$B$27,0),'Renewal Rates'!$F$7),IF(A110="Renewal",100%,0%))</f>
        <v>2.6599999999999999E-2</v>
      </c>
      <c r="U110" s="68">
        <f t="shared" si="1"/>
        <v>9091.3745999999992</v>
      </c>
    </row>
    <row r="111" spans="1:21" s="41" customFormat="1" ht="13.8" x14ac:dyDescent="0.3">
      <c r="A111" s="115" t="s">
        <v>21</v>
      </c>
      <c r="B111" s="116">
        <v>2000211540</v>
      </c>
      <c r="C111" s="116">
        <v>4.0199999999999996</v>
      </c>
      <c r="D111" s="117">
        <v>19.399999999999999</v>
      </c>
      <c r="E111" s="117"/>
      <c r="F111" s="117">
        <v>525</v>
      </c>
      <c r="G111" s="117">
        <v>600</v>
      </c>
      <c r="H111" s="123"/>
      <c r="I111" s="117" t="s">
        <v>122</v>
      </c>
      <c r="J111" s="115">
        <v>374</v>
      </c>
      <c r="K111" s="115" t="s">
        <v>23</v>
      </c>
      <c r="L111" s="117" t="s">
        <v>24</v>
      </c>
      <c r="M111" s="66">
        <v>82939</v>
      </c>
      <c r="N111" s="66">
        <v>4280</v>
      </c>
      <c r="O111" s="66">
        <v>28199</v>
      </c>
      <c r="P111" s="66">
        <v>111139</v>
      </c>
      <c r="Q111" s="67">
        <v>0.4</v>
      </c>
      <c r="R111" s="66">
        <v>44455</v>
      </c>
      <c r="S111" s="66">
        <v>155594</v>
      </c>
      <c r="T111" s="106">
        <f>IF(A111="Upgrade",IF(OR(H111=4,H111=5),_xlfn.XLOOKUP(I111,'Renewal Rates'!$A$22:$A$27,'Renewal Rates'!$B$22:$B$27,'Renewal Rates'!$B$27,0),'Renewal Rates'!$F$7),IF(A111="Renewal",100%,0%))</f>
        <v>2.6599999999999999E-2</v>
      </c>
      <c r="U111" s="68">
        <f t="shared" si="1"/>
        <v>4138.8004000000001</v>
      </c>
    </row>
    <row r="112" spans="1:21" s="41" customFormat="1" ht="13.8" x14ac:dyDescent="0.3">
      <c r="A112" s="115" t="s">
        <v>21</v>
      </c>
      <c r="B112" s="116">
        <v>2000643915</v>
      </c>
      <c r="C112" s="116">
        <v>4.0199999999999996</v>
      </c>
      <c r="D112" s="117">
        <v>81</v>
      </c>
      <c r="E112" s="117"/>
      <c r="F112" s="117">
        <v>375</v>
      </c>
      <c r="G112" s="117">
        <v>600</v>
      </c>
      <c r="H112" s="123"/>
      <c r="I112" s="117" t="s">
        <v>122</v>
      </c>
      <c r="J112" s="115">
        <v>374</v>
      </c>
      <c r="K112" s="115" t="s">
        <v>23</v>
      </c>
      <c r="L112" s="117" t="s">
        <v>24</v>
      </c>
      <c r="M112" s="66">
        <v>262257</v>
      </c>
      <c r="N112" s="66">
        <v>3238</v>
      </c>
      <c r="O112" s="66">
        <v>89167</v>
      </c>
      <c r="P112" s="66">
        <v>351424</v>
      </c>
      <c r="Q112" s="67">
        <v>0.4</v>
      </c>
      <c r="R112" s="66">
        <v>140570</v>
      </c>
      <c r="S112" s="66">
        <v>491994</v>
      </c>
      <c r="T112" s="106">
        <f>IF(A112="Upgrade",IF(OR(H112=4,H112=5),_xlfn.XLOOKUP(I112,'Renewal Rates'!$A$22:$A$27,'Renewal Rates'!$B$22:$B$27,'Renewal Rates'!$B$27,0),'Renewal Rates'!$F$7),IF(A112="Renewal",100%,0%))</f>
        <v>2.6599999999999999E-2</v>
      </c>
      <c r="U112" s="68">
        <f t="shared" si="1"/>
        <v>13087.0404</v>
      </c>
    </row>
    <row r="113" spans="1:21" s="41" customFormat="1" ht="13.8" x14ac:dyDescent="0.3">
      <c r="A113" s="115" t="s">
        <v>21</v>
      </c>
      <c r="B113" s="116">
        <v>2000940304</v>
      </c>
      <c r="C113" s="116">
        <v>4.0190000000000001</v>
      </c>
      <c r="D113" s="117">
        <v>49.7</v>
      </c>
      <c r="E113" s="117"/>
      <c r="F113" s="117">
        <v>375</v>
      </c>
      <c r="G113" s="117">
        <v>525</v>
      </c>
      <c r="H113" s="123"/>
      <c r="I113" s="117" t="s">
        <v>122</v>
      </c>
      <c r="J113" s="115">
        <v>374</v>
      </c>
      <c r="K113" s="115" t="s">
        <v>23</v>
      </c>
      <c r="L113" s="117" t="s">
        <v>24</v>
      </c>
      <c r="M113" s="66">
        <v>145586</v>
      </c>
      <c r="N113" s="66">
        <v>2932</v>
      </c>
      <c r="O113" s="66">
        <v>49499</v>
      </c>
      <c r="P113" s="66">
        <v>195086</v>
      </c>
      <c r="Q113" s="67">
        <v>0.4</v>
      </c>
      <c r="R113" s="66">
        <v>78034</v>
      </c>
      <c r="S113" s="66">
        <v>273120</v>
      </c>
      <c r="T113" s="106">
        <f>IF(A113="Upgrade",IF(OR(H113=4,H113=5),_xlfn.XLOOKUP(I113,'Renewal Rates'!$A$22:$A$27,'Renewal Rates'!$B$22:$B$27,'Renewal Rates'!$B$27,0),'Renewal Rates'!$F$7),IF(A113="Renewal",100%,0%))</f>
        <v>2.6599999999999999E-2</v>
      </c>
      <c r="U113" s="68">
        <f t="shared" si="1"/>
        <v>7264.9919999999993</v>
      </c>
    </row>
    <row r="114" spans="1:21" s="41" customFormat="1" ht="13.8" x14ac:dyDescent="0.3">
      <c r="A114" s="115" t="s">
        <v>21</v>
      </c>
      <c r="B114" s="116">
        <v>2000825401</v>
      </c>
      <c r="C114" s="116">
        <v>4.0190000000000001</v>
      </c>
      <c r="D114" s="117">
        <v>35.6</v>
      </c>
      <c r="E114" s="117"/>
      <c r="F114" s="117">
        <v>300</v>
      </c>
      <c r="G114" s="117">
        <v>525</v>
      </c>
      <c r="H114" s="123"/>
      <c r="I114" s="117" t="s">
        <v>122</v>
      </c>
      <c r="J114" s="115">
        <v>374</v>
      </c>
      <c r="K114" s="115" t="s">
        <v>23</v>
      </c>
      <c r="L114" s="117" t="s">
        <v>24</v>
      </c>
      <c r="M114" s="66">
        <v>113918</v>
      </c>
      <c r="N114" s="66">
        <v>3196</v>
      </c>
      <c r="O114" s="66">
        <v>38732</v>
      </c>
      <c r="P114" s="66">
        <v>152651</v>
      </c>
      <c r="Q114" s="67">
        <v>0.4</v>
      </c>
      <c r="R114" s="66">
        <v>61060</v>
      </c>
      <c r="S114" s="66">
        <v>213711</v>
      </c>
      <c r="T114" s="106">
        <f>IF(A114="Upgrade",IF(OR(H114=4,H114=5),_xlfn.XLOOKUP(I114,'Renewal Rates'!$A$22:$A$27,'Renewal Rates'!$B$22:$B$27,'Renewal Rates'!$B$27,0),'Renewal Rates'!$F$7),IF(A114="Renewal",100%,0%))</f>
        <v>2.6599999999999999E-2</v>
      </c>
      <c r="U114" s="68">
        <f t="shared" si="1"/>
        <v>5684.7125999999998</v>
      </c>
    </row>
    <row r="115" spans="1:21" s="41" customFormat="1" ht="13.8" x14ac:dyDescent="0.3">
      <c r="A115" s="115" t="s">
        <v>21</v>
      </c>
      <c r="B115" s="116">
        <v>2000227232</v>
      </c>
      <c r="C115" s="116">
        <v>4.0179999999999998</v>
      </c>
      <c r="D115" s="117">
        <v>52.8</v>
      </c>
      <c r="E115" s="117"/>
      <c r="F115" s="117">
        <v>225</v>
      </c>
      <c r="G115" s="117">
        <v>450</v>
      </c>
      <c r="H115" s="123"/>
      <c r="I115" s="117" t="s">
        <v>122</v>
      </c>
      <c r="J115" s="115">
        <v>374</v>
      </c>
      <c r="K115" s="115" t="s">
        <v>23</v>
      </c>
      <c r="L115" s="117" t="s">
        <v>24</v>
      </c>
      <c r="M115" s="66">
        <v>159689</v>
      </c>
      <c r="N115" s="66">
        <v>3023</v>
      </c>
      <c r="O115" s="66">
        <v>54294</v>
      </c>
      <c r="P115" s="66">
        <v>213983</v>
      </c>
      <c r="Q115" s="67">
        <v>0.4</v>
      </c>
      <c r="R115" s="66">
        <v>85593</v>
      </c>
      <c r="S115" s="66">
        <v>299577</v>
      </c>
      <c r="T115" s="106">
        <f>IF(A115="Upgrade",IF(OR(H115=4,H115=5),_xlfn.XLOOKUP(I115,'Renewal Rates'!$A$22:$A$27,'Renewal Rates'!$B$22:$B$27,'Renewal Rates'!$B$27,0),'Renewal Rates'!$F$7),IF(A115="Renewal",100%,0%))</f>
        <v>2.6599999999999999E-2</v>
      </c>
      <c r="U115" s="68">
        <f t="shared" si="1"/>
        <v>7968.7482</v>
      </c>
    </row>
    <row r="116" spans="1:21" s="41" customFormat="1" ht="13.8" x14ac:dyDescent="0.3">
      <c r="A116" s="115" t="s">
        <v>21</v>
      </c>
      <c r="B116" s="116">
        <v>2000527887</v>
      </c>
      <c r="C116" s="116">
        <v>4.0439999999999996</v>
      </c>
      <c r="D116" s="117">
        <v>58.1</v>
      </c>
      <c r="E116" s="117"/>
      <c r="F116" s="117">
        <v>225</v>
      </c>
      <c r="G116" s="117">
        <v>450</v>
      </c>
      <c r="H116" s="123"/>
      <c r="I116" s="117" t="s">
        <v>122</v>
      </c>
      <c r="J116" s="115">
        <v>374</v>
      </c>
      <c r="K116" s="115" t="s">
        <v>23</v>
      </c>
      <c r="L116" s="117" t="s">
        <v>24</v>
      </c>
      <c r="M116" s="66">
        <v>182857</v>
      </c>
      <c r="N116" s="66">
        <v>3150</v>
      </c>
      <c r="O116" s="66">
        <v>62171</v>
      </c>
      <c r="P116" s="66">
        <v>245028</v>
      </c>
      <c r="Q116" s="67">
        <v>0.4</v>
      </c>
      <c r="R116" s="66">
        <v>98011</v>
      </c>
      <c r="S116" s="66">
        <v>343039</v>
      </c>
      <c r="T116" s="106">
        <f>IF(A116="Upgrade",IF(OR(H116=4,H116=5),_xlfn.XLOOKUP(I116,'Renewal Rates'!$A$22:$A$27,'Renewal Rates'!$B$22:$B$27,'Renewal Rates'!$B$27,0),'Renewal Rates'!$F$7),IF(A116="Renewal",100%,0%))</f>
        <v>2.6599999999999999E-2</v>
      </c>
      <c r="U116" s="68">
        <f t="shared" si="1"/>
        <v>9124.8374000000003</v>
      </c>
    </row>
    <row r="117" spans="1:21" s="41" customFormat="1" ht="13.8" x14ac:dyDescent="0.3">
      <c r="A117" s="115" t="s">
        <v>21</v>
      </c>
      <c r="B117" s="116">
        <v>2000025359</v>
      </c>
      <c r="C117" s="116">
        <v>4.016</v>
      </c>
      <c r="D117" s="117">
        <v>33.200000000000003</v>
      </c>
      <c r="E117" s="117"/>
      <c r="F117" s="117">
        <v>375</v>
      </c>
      <c r="G117" s="117">
        <v>750</v>
      </c>
      <c r="H117" s="123"/>
      <c r="I117" s="117" t="s">
        <v>122</v>
      </c>
      <c r="J117" s="115">
        <v>374</v>
      </c>
      <c r="K117" s="115" t="s">
        <v>23</v>
      </c>
      <c r="L117" s="117" t="s">
        <v>24</v>
      </c>
      <c r="M117" s="66">
        <v>153025</v>
      </c>
      <c r="N117" s="66">
        <v>4607</v>
      </c>
      <c r="O117" s="66">
        <v>52029</v>
      </c>
      <c r="P117" s="66">
        <v>205054</v>
      </c>
      <c r="Q117" s="67">
        <v>0.4</v>
      </c>
      <c r="R117" s="66">
        <v>82021</v>
      </c>
      <c r="S117" s="66">
        <v>287075</v>
      </c>
      <c r="T117" s="106">
        <f>IF(A117="Upgrade",IF(OR(H117=4,H117=5),_xlfn.XLOOKUP(I117,'Renewal Rates'!$A$22:$A$27,'Renewal Rates'!$B$22:$B$27,'Renewal Rates'!$B$27,0),'Renewal Rates'!$F$7),IF(A117="Renewal",100%,0%))</f>
        <v>2.6599999999999999E-2</v>
      </c>
      <c r="U117" s="68">
        <f t="shared" si="1"/>
        <v>7636.1949999999997</v>
      </c>
    </row>
    <row r="118" spans="1:21" s="41" customFormat="1" ht="13.8" x14ac:dyDescent="0.3">
      <c r="A118" s="115" t="s">
        <v>21</v>
      </c>
      <c r="B118" s="116">
        <v>2000161777</v>
      </c>
      <c r="C118" s="116">
        <v>4.016</v>
      </c>
      <c r="D118" s="117">
        <v>71.900000000000006</v>
      </c>
      <c r="E118" s="117"/>
      <c r="F118" s="117">
        <v>300</v>
      </c>
      <c r="G118" s="117">
        <v>750</v>
      </c>
      <c r="H118" s="123"/>
      <c r="I118" s="117" t="s">
        <v>122</v>
      </c>
      <c r="J118" s="115">
        <v>374</v>
      </c>
      <c r="K118" s="115" t="s">
        <v>23</v>
      </c>
      <c r="L118" s="117" t="s">
        <v>24</v>
      </c>
      <c r="M118" s="66">
        <v>331208</v>
      </c>
      <c r="N118" s="66">
        <v>4609</v>
      </c>
      <c r="O118" s="66">
        <v>112611</v>
      </c>
      <c r="P118" s="66">
        <v>443818</v>
      </c>
      <c r="Q118" s="67">
        <v>0.4</v>
      </c>
      <c r="R118" s="66">
        <v>177527</v>
      </c>
      <c r="S118" s="66">
        <v>621346</v>
      </c>
      <c r="T118" s="106">
        <f>IF(A118="Upgrade",IF(OR(H118=4,H118=5),_xlfn.XLOOKUP(I118,'Renewal Rates'!$A$22:$A$27,'Renewal Rates'!$B$22:$B$27,'Renewal Rates'!$B$27,0),'Renewal Rates'!$F$7),IF(A118="Renewal",100%,0%))</f>
        <v>2.6599999999999999E-2</v>
      </c>
      <c r="U118" s="68">
        <f t="shared" si="1"/>
        <v>16527.803599999999</v>
      </c>
    </row>
    <row r="119" spans="1:21" s="41" customFormat="1" ht="13.8" x14ac:dyDescent="0.3">
      <c r="A119" s="115" t="s">
        <v>21</v>
      </c>
      <c r="B119" s="116">
        <v>2000538482</v>
      </c>
      <c r="C119" s="116">
        <v>4.016</v>
      </c>
      <c r="D119" s="117">
        <v>60.7</v>
      </c>
      <c r="E119" s="117"/>
      <c r="F119" s="117">
        <v>225</v>
      </c>
      <c r="G119" s="117">
        <v>750</v>
      </c>
      <c r="H119" s="123"/>
      <c r="I119" s="117" t="s">
        <v>122</v>
      </c>
      <c r="J119" s="115">
        <v>374</v>
      </c>
      <c r="K119" s="115" t="s">
        <v>23</v>
      </c>
      <c r="L119" s="117" t="s">
        <v>24</v>
      </c>
      <c r="M119" s="66">
        <v>273195</v>
      </c>
      <c r="N119" s="66">
        <v>4501</v>
      </c>
      <c r="O119" s="66">
        <v>92886</v>
      </c>
      <c r="P119" s="66">
        <v>366081</v>
      </c>
      <c r="Q119" s="67">
        <v>0.4</v>
      </c>
      <c r="R119" s="66">
        <v>146432</v>
      </c>
      <c r="S119" s="66">
        <v>512513</v>
      </c>
      <c r="T119" s="106">
        <f>IF(A119="Upgrade",IF(OR(H119=4,H119=5),_xlfn.XLOOKUP(I119,'Renewal Rates'!$A$22:$A$27,'Renewal Rates'!$B$22:$B$27,'Renewal Rates'!$B$27,0),'Renewal Rates'!$F$7),IF(A119="Renewal",100%,0%))</f>
        <v>2.6599999999999999E-2</v>
      </c>
      <c r="U119" s="68">
        <f t="shared" si="1"/>
        <v>13632.845799999999</v>
      </c>
    </row>
    <row r="120" spans="1:21" s="41" customFormat="1" ht="13.8" x14ac:dyDescent="0.3">
      <c r="A120" s="115" t="s">
        <v>21</v>
      </c>
      <c r="B120" s="116">
        <v>2000376426</v>
      </c>
      <c r="C120" s="116">
        <v>4.016</v>
      </c>
      <c r="D120" s="117">
        <v>12.3</v>
      </c>
      <c r="E120" s="117"/>
      <c r="F120" s="117">
        <v>225</v>
      </c>
      <c r="G120" s="117">
        <v>750</v>
      </c>
      <c r="H120" s="123"/>
      <c r="I120" s="117" t="s">
        <v>122</v>
      </c>
      <c r="J120" s="115">
        <v>374</v>
      </c>
      <c r="K120" s="115" t="s">
        <v>23</v>
      </c>
      <c r="L120" s="117" t="s">
        <v>24</v>
      </c>
      <c r="M120" s="66">
        <v>85734</v>
      </c>
      <c r="N120" s="66">
        <v>6960</v>
      </c>
      <c r="O120" s="66">
        <v>29150</v>
      </c>
      <c r="P120" s="66">
        <v>114884</v>
      </c>
      <c r="Q120" s="67">
        <v>0.4</v>
      </c>
      <c r="R120" s="66">
        <v>45954</v>
      </c>
      <c r="S120" s="66">
        <v>160838</v>
      </c>
      <c r="T120" s="106">
        <f>IF(A120="Upgrade",IF(OR(H120=4,H120=5),_xlfn.XLOOKUP(I120,'Renewal Rates'!$A$22:$A$27,'Renewal Rates'!$B$22:$B$27,'Renewal Rates'!$B$27,0),'Renewal Rates'!$F$7),IF(A120="Renewal",100%,0%))</f>
        <v>2.6599999999999999E-2</v>
      </c>
      <c r="U120" s="68">
        <f t="shared" si="1"/>
        <v>4278.2907999999998</v>
      </c>
    </row>
    <row r="121" spans="1:21" s="41" customFormat="1" ht="13.8" x14ac:dyDescent="0.3">
      <c r="A121" s="115" t="s">
        <v>21</v>
      </c>
      <c r="B121" s="116">
        <v>2000694497</v>
      </c>
      <c r="C121" s="116">
        <v>4.016</v>
      </c>
      <c r="D121" s="117">
        <v>82.9</v>
      </c>
      <c r="E121" s="117"/>
      <c r="F121" s="117">
        <v>225</v>
      </c>
      <c r="G121" s="117">
        <v>750</v>
      </c>
      <c r="H121" s="123"/>
      <c r="I121" s="117" t="s">
        <v>122</v>
      </c>
      <c r="J121" s="115">
        <v>374</v>
      </c>
      <c r="K121" s="115" t="s">
        <v>23</v>
      </c>
      <c r="L121" s="117" t="s">
        <v>24</v>
      </c>
      <c r="M121" s="66">
        <v>342226</v>
      </c>
      <c r="N121" s="66">
        <v>4129</v>
      </c>
      <c r="O121" s="66">
        <v>116357</v>
      </c>
      <c r="P121" s="66">
        <v>458584</v>
      </c>
      <c r="Q121" s="67">
        <v>0.4</v>
      </c>
      <c r="R121" s="66">
        <v>183433</v>
      </c>
      <c r="S121" s="66">
        <v>642017</v>
      </c>
      <c r="T121" s="106">
        <f>IF(A121="Upgrade",IF(OR(H121=4,H121=5),_xlfn.XLOOKUP(I121,'Renewal Rates'!$A$22:$A$27,'Renewal Rates'!$B$22:$B$27,'Renewal Rates'!$B$27,0),'Renewal Rates'!$F$7),IF(A121="Renewal",100%,0%))</f>
        <v>2.6599999999999999E-2</v>
      </c>
      <c r="U121" s="68">
        <f t="shared" si="1"/>
        <v>17077.6522</v>
      </c>
    </row>
    <row r="122" spans="1:21" s="41" customFormat="1" ht="13.8" x14ac:dyDescent="0.3">
      <c r="A122" s="115" t="s">
        <v>21</v>
      </c>
      <c r="B122" s="116">
        <v>2000489833</v>
      </c>
      <c r="C122" s="116">
        <v>4.0419999999999998</v>
      </c>
      <c r="D122" s="117">
        <v>49.9</v>
      </c>
      <c r="E122" s="117"/>
      <c r="F122" s="117">
        <v>375</v>
      </c>
      <c r="G122" s="117">
        <v>675</v>
      </c>
      <c r="H122" s="123"/>
      <c r="I122" s="117" t="s">
        <v>122</v>
      </c>
      <c r="J122" s="115">
        <v>374</v>
      </c>
      <c r="K122" s="115" t="s">
        <v>23</v>
      </c>
      <c r="L122" s="117" t="s">
        <v>24</v>
      </c>
      <c r="M122" s="66">
        <v>210908</v>
      </c>
      <c r="N122" s="66">
        <v>4224</v>
      </c>
      <c r="O122" s="66">
        <v>71709</v>
      </c>
      <c r="P122" s="66">
        <v>282616</v>
      </c>
      <c r="Q122" s="67">
        <v>0.4</v>
      </c>
      <c r="R122" s="66">
        <v>113047</v>
      </c>
      <c r="S122" s="66">
        <v>395663</v>
      </c>
      <c r="T122" s="106">
        <f>IF(A122="Upgrade",IF(OR(H122=4,H122=5),_xlfn.XLOOKUP(I122,'Renewal Rates'!$A$22:$A$27,'Renewal Rates'!$B$22:$B$27,'Renewal Rates'!$B$27,0),'Renewal Rates'!$F$7),IF(A122="Renewal",100%,0%))</f>
        <v>2.6599999999999999E-2</v>
      </c>
      <c r="U122" s="68">
        <f t="shared" si="1"/>
        <v>10524.6358</v>
      </c>
    </row>
    <row r="123" spans="1:21" s="41" customFormat="1" ht="13.8" x14ac:dyDescent="0.3">
      <c r="A123" s="115" t="s">
        <v>21</v>
      </c>
      <c r="B123" s="116">
        <v>2000106170</v>
      </c>
      <c r="C123" s="116">
        <v>4.0410000000000004</v>
      </c>
      <c r="D123" s="117">
        <v>24.8</v>
      </c>
      <c r="E123" s="117"/>
      <c r="F123" s="117">
        <v>225</v>
      </c>
      <c r="G123" s="117">
        <v>600</v>
      </c>
      <c r="H123" s="123"/>
      <c r="I123" s="117" t="s">
        <v>122</v>
      </c>
      <c r="J123" s="115">
        <v>374</v>
      </c>
      <c r="K123" s="115" t="s">
        <v>23</v>
      </c>
      <c r="L123" s="117" t="s">
        <v>24</v>
      </c>
      <c r="M123" s="66">
        <v>108022</v>
      </c>
      <c r="N123" s="66">
        <v>4349</v>
      </c>
      <c r="O123" s="66">
        <v>36728</v>
      </c>
      <c r="P123" s="66">
        <v>144750</v>
      </c>
      <c r="Q123" s="67">
        <v>0.4</v>
      </c>
      <c r="R123" s="66">
        <v>57900</v>
      </c>
      <c r="S123" s="66">
        <v>202650</v>
      </c>
      <c r="T123" s="106">
        <f>IF(A123="Upgrade",IF(OR(H123=4,H123=5),_xlfn.XLOOKUP(I123,'Renewal Rates'!$A$22:$A$27,'Renewal Rates'!$B$22:$B$27,'Renewal Rates'!$B$27,0),'Renewal Rates'!$F$7),IF(A123="Renewal",100%,0%))</f>
        <v>2.6599999999999999E-2</v>
      </c>
      <c r="U123" s="68">
        <f t="shared" si="1"/>
        <v>5390.49</v>
      </c>
    </row>
    <row r="124" spans="1:21" s="41" customFormat="1" ht="13.8" x14ac:dyDescent="0.3">
      <c r="A124" s="115" t="s">
        <v>21</v>
      </c>
      <c r="B124" s="116">
        <v>2000688857</v>
      </c>
      <c r="C124" s="116">
        <v>4.0410000000000004</v>
      </c>
      <c r="D124" s="117">
        <v>35.299999999999997</v>
      </c>
      <c r="E124" s="117"/>
      <c r="F124" s="117">
        <v>150</v>
      </c>
      <c r="G124" s="117">
        <v>600</v>
      </c>
      <c r="H124" s="123"/>
      <c r="I124" s="117" t="s">
        <v>122</v>
      </c>
      <c r="J124" s="115">
        <v>374</v>
      </c>
      <c r="K124" s="115" t="s">
        <v>23</v>
      </c>
      <c r="L124" s="117" t="s">
        <v>24</v>
      </c>
      <c r="M124" s="66">
        <v>138284</v>
      </c>
      <c r="N124" s="66">
        <v>3917</v>
      </c>
      <c r="O124" s="66">
        <v>47016</v>
      </c>
      <c r="P124" s="66">
        <v>185300</v>
      </c>
      <c r="Q124" s="67">
        <v>0.4</v>
      </c>
      <c r="R124" s="66">
        <v>74120</v>
      </c>
      <c r="S124" s="66">
        <v>259420</v>
      </c>
      <c r="T124" s="106">
        <f>IF(A124="Upgrade",IF(OR(H124=4,H124=5),_xlfn.XLOOKUP(I124,'Renewal Rates'!$A$22:$A$27,'Renewal Rates'!$B$22:$B$27,'Renewal Rates'!$B$27,0),'Renewal Rates'!$F$7),IF(A124="Renewal",100%,0%))</f>
        <v>2.6599999999999999E-2</v>
      </c>
      <c r="U124" s="68">
        <f t="shared" si="1"/>
        <v>6900.5719999999992</v>
      </c>
    </row>
    <row r="125" spans="1:21" s="41" customFormat="1" ht="13.8" x14ac:dyDescent="0.3">
      <c r="A125" s="115" t="s">
        <v>21</v>
      </c>
      <c r="B125" s="116">
        <v>3000135974</v>
      </c>
      <c r="C125" s="116">
        <v>4.0410000000000004</v>
      </c>
      <c r="D125" s="117">
        <v>31</v>
      </c>
      <c r="E125" s="117"/>
      <c r="F125" s="117">
        <v>160</v>
      </c>
      <c r="G125" s="117">
        <v>600</v>
      </c>
      <c r="H125" s="123"/>
      <c r="I125" s="117" t="s">
        <v>122</v>
      </c>
      <c r="J125" s="115">
        <v>374</v>
      </c>
      <c r="K125" s="115" t="s">
        <v>23</v>
      </c>
      <c r="L125" s="117" t="s">
        <v>24</v>
      </c>
      <c r="M125" s="66">
        <v>114406</v>
      </c>
      <c r="N125" s="66">
        <v>3689</v>
      </c>
      <c r="O125" s="66">
        <v>38898</v>
      </c>
      <c r="P125" s="66">
        <v>153303</v>
      </c>
      <c r="Q125" s="67">
        <v>0.4</v>
      </c>
      <c r="R125" s="66">
        <v>61321</v>
      </c>
      <c r="S125" s="66">
        <v>214625</v>
      </c>
      <c r="T125" s="106">
        <f>IF(A125="Upgrade",IF(OR(H125=4,H125=5),_xlfn.XLOOKUP(I125,'Renewal Rates'!$A$22:$A$27,'Renewal Rates'!$B$22:$B$27,'Renewal Rates'!$B$27,0),'Renewal Rates'!$F$7),IF(A125="Renewal",100%,0%))</f>
        <v>2.6599999999999999E-2</v>
      </c>
      <c r="U125" s="68">
        <f t="shared" si="1"/>
        <v>5709.0249999999996</v>
      </c>
    </row>
    <row r="126" spans="1:21" s="41" customFormat="1" ht="13.8" x14ac:dyDescent="0.3">
      <c r="A126" s="115" t="s">
        <v>21</v>
      </c>
      <c r="B126" s="116">
        <v>2000236750</v>
      </c>
      <c r="C126" s="116">
        <v>4.04</v>
      </c>
      <c r="D126" s="117">
        <v>27</v>
      </c>
      <c r="E126" s="117"/>
      <c r="F126" s="117">
        <v>300</v>
      </c>
      <c r="G126" s="117">
        <v>525</v>
      </c>
      <c r="H126" s="123"/>
      <c r="I126" s="117" t="s">
        <v>122</v>
      </c>
      <c r="J126" s="115">
        <v>374</v>
      </c>
      <c r="K126" s="115" t="s">
        <v>23</v>
      </c>
      <c r="L126" s="117" t="s">
        <v>24</v>
      </c>
      <c r="M126" s="66">
        <v>106392</v>
      </c>
      <c r="N126" s="66">
        <v>3937</v>
      </c>
      <c r="O126" s="66">
        <v>36173</v>
      </c>
      <c r="P126" s="66">
        <v>142565</v>
      </c>
      <c r="Q126" s="67">
        <v>0.4</v>
      </c>
      <c r="R126" s="66">
        <v>57026</v>
      </c>
      <c r="S126" s="66">
        <v>199591</v>
      </c>
      <c r="T126" s="106">
        <f>IF(A126="Upgrade",IF(OR(H126=4,H126=5),_xlfn.XLOOKUP(I126,'Renewal Rates'!$A$22:$A$27,'Renewal Rates'!$B$22:$B$27,'Renewal Rates'!$B$27,0),'Renewal Rates'!$F$7),IF(A126="Renewal",100%,0%))</f>
        <v>2.6599999999999999E-2</v>
      </c>
      <c r="U126" s="68">
        <f t="shared" si="1"/>
        <v>5309.1205999999993</v>
      </c>
    </row>
    <row r="127" spans="1:21" s="41" customFormat="1" ht="13.8" x14ac:dyDescent="0.3">
      <c r="A127" s="115" t="s">
        <v>21</v>
      </c>
      <c r="B127" s="116">
        <v>2000060906</v>
      </c>
      <c r="C127" s="116">
        <v>4.04</v>
      </c>
      <c r="D127" s="117">
        <v>35.299999999999997</v>
      </c>
      <c r="E127" s="117"/>
      <c r="F127" s="117">
        <v>300</v>
      </c>
      <c r="G127" s="117">
        <v>525</v>
      </c>
      <c r="H127" s="123"/>
      <c r="I127" s="117" t="s">
        <v>122</v>
      </c>
      <c r="J127" s="115">
        <v>374</v>
      </c>
      <c r="K127" s="115" t="s">
        <v>23</v>
      </c>
      <c r="L127" s="117" t="s">
        <v>24</v>
      </c>
      <c r="M127" s="66">
        <v>113637</v>
      </c>
      <c r="N127" s="66">
        <v>3217</v>
      </c>
      <c r="O127" s="66">
        <v>38637</v>
      </c>
      <c r="P127" s="66">
        <v>152274</v>
      </c>
      <c r="Q127" s="67">
        <v>0.4</v>
      </c>
      <c r="R127" s="66">
        <v>60909</v>
      </c>
      <c r="S127" s="66">
        <v>213183</v>
      </c>
      <c r="T127" s="106">
        <f>IF(A127="Upgrade",IF(OR(H127=4,H127=5),_xlfn.XLOOKUP(I127,'Renewal Rates'!$A$22:$A$27,'Renewal Rates'!$B$22:$B$27,'Renewal Rates'!$B$27,0),'Renewal Rates'!$F$7),IF(A127="Renewal",100%,0%))</f>
        <v>2.6599999999999999E-2</v>
      </c>
      <c r="U127" s="68">
        <f t="shared" si="1"/>
        <v>5670.6677999999993</v>
      </c>
    </row>
    <row r="128" spans="1:21" s="41" customFormat="1" ht="13.8" x14ac:dyDescent="0.3">
      <c r="A128" s="115" t="s">
        <v>21</v>
      </c>
      <c r="B128" s="116">
        <v>2000003926</v>
      </c>
      <c r="C128" s="116">
        <v>4.0389999999999997</v>
      </c>
      <c r="D128" s="117">
        <v>43.2</v>
      </c>
      <c r="E128" s="117"/>
      <c r="F128" s="117">
        <v>225</v>
      </c>
      <c r="G128" s="117">
        <v>450</v>
      </c>
      <c r="H128" s="123"/>
      <c r="I128" s="117" t="s">
        <v>122</v>
      </c>
      <c r="J128" s="115">
        <v>374</v>
      </c>
      <c r="K128" s="115" t="s">
        <v>23</v>
      </c>
      <c r="L128" s="117" t="s">
        <v>24</v>
      </c>
      <c r="M128" s="66">
        <v>114039</v>
      </c>
      <c r="N128" s="66">
        <v>2641</v>
      </c>
      <c r="O128" s="66">
        <v>38773</v>
      </c>
      <c r="P128" s="66">
        <v>152812</v>
      </c>
      <c r="Q128" s="67">
        <v>0.4</v>
      </c>
      <c r="R128" s="66">
        <v>61125</v>
      </c>
      <c r="S128" s="66">
        <v>213937</v>
      </c>
      <c r="T128" s="106">
        <f>IF(A128="Upgrade",IF(OR(H128=4,H128=5),_xlfn.XLOOKUP(I128,'Renewal Rates'!$A$22:$A$27,'Renewal Rates'!$B$22:$B$27,'Renewal Rates'!$B$27,0),'Renewal Rates'!$F$7),IF(A128="Renewal",100%,0%))</f>
        <v>2.6599999999999999E-2</v>
      </c>
      <c r="U128" s="68">
        <f t="shared" si="1"/>
        <v>5690.7241999999997</v>
      </c>
    </row>
    <row r="129" spans="1:21" s="41" customFormat="1" ht="13.8" x14ac:dyDescent="0.3">
      <c r="A129" s="115" t="s">
        <v>21</v>
      </c>
      <c r="B129" s="116">
        <v>2000582737</v>
      </c>
      <c r="C129" s="116">
        <v>4.0389999999999997</v>
      </c>
      <c r="D129" s="117">
        <v>63.7</v>
      </c>
      <c r="E129" s="117"/>
      <c r="F129" s="117">
        <v>225</v>
      </c>
      <c r="G129" s="117">
        <v>450</v>
      </c>
      <c r="H129" s="123"/>
      <c r="I129" s="117" t="s">
        <v>122</v>
      </c>
      <c r="J129" s="115">
        <v>374</v>
      </c>
      <c r="K129" s="115" t="s">
        <v>23</v>
      </c>
      <c r="L129" s="117" t="s">
        <v>24</v>
      </c>
      <c r="M129" s="66">
        <v>186911</v>
      </c>
      <c r="N129" s="66">
        <v>2932</v>
      </c>
      <c r="O129" s="66">
        <v>63550</v>
      </c>
      <c r="P129" s="66">
        <v>250461</v>
      </c>
      <c r="Q129" s="67">
        <v>0.4</v>
      </c>
      <c r="R129" s="66">
        <v>100185</v>
      </c>
      <c r="S129" s="66">
        <v>350646</v>
      </c>
      <c r="T129" s="106">
        <f>IF(A129="Upgrade",IF(OR(H129=4,H129=5),_xlfn.XLOOKUP(I129,'Renewal Rates'!$A$22:$A$27,'Renewal Rates'!$B$22:$B$27,'Renewal Rates'!$B$27,0),'Renewal Rates'!$F$7),IF(A129="Renewal",100%,0%))</f>
        <v>2.6599999999999999E-2</v>
      </c>
      <c r="U129" s="68">
        <f t="shared" si="1"/>
        <v>9327.1836000000003</v>
      </c>
    </row>
    <row r="130" spans="1:21" s="41" customFormat="1" ht="13.8" x14ac:dyDescent="0.3">
      <c r="A130" s="115" t="s">
        <v>21</v>
      </c>
      <c r="B130" s="116">
        <v>2000608321</v>
      </c>
      <c r="C130" s="116">
        <v>4.0389999999999997</v>
      </c>
      <c r="D130" s="117">
        <v>23.3</v>
      </c>
      <c r="E130" s="117"/>
      <c r="F130" s="117">
        <v>225</v>
      </c>
      <c r="G130" s="117">
        <v>450</v>
      </c>
      <c r="H130" s="123"/>
      <c r="I130" s="117" t="s">
        <v>122</v>
      </c>
      <c r="J130" s="115">
        <v>374</v>
      </c>
      <c r="K130" s="115" t="s">
        <v>23</v>
      </c>
      <c r="L130" s="117" t="s">
        <v>24</v>
      </c>
      <c r="M130" s="66">
        <v>80452</v>
      </c>
      <c r="N130" s="66">
        <v>3450</v>
      </c>
      <c r="O130" s="66">
        <v>27354</v>
      </c>
      <c r="P130" s="66">
        <v>107805</v>
      </c>
      <c r="Q130" s="67">
        <v>0.4</v>
      </c>
      <c r="R130" s="66">
        <v>43122</v>
      </c>
      <c r="S130" s="66">
        <v>150927</v>
      </c>
      <c r="T130" s="106">
        <f>IF(A130="Upgrade",IF(OR(H130=4,H130=5),_xlfn.XLOOKUP(I130,'Renewal Rates'!$A$22:$A$27,'Renewal Rates'!$B$22:$B$27,'Renewal Rates'!$B$27,0),'Renewal Rates'!$F$7),IF(A130="Renewal",100%,0%))</f>
        <v>2.6599999999999999E-2</v>
      </c>
      <c r="U130" s="68">
        <f t="shared" si="1"/>
        <v>4014.6581999999999</v>
      </c>
    </row>
    <row r="131" spans="1:21" s="41" customFormat="1" ht="13.8" x14ac:dyDescent="0.3">
      <c r="A131" s="115" t="s">
        <v>21</v>
      </c>
      <c r="B131" s="116">
        <v>2000334041</v>
      </c>
      <c r="C131" s="116">
        <v>4.0149999999999997</v>
      </c>
      <c r="D131" s="117">
        <v>66.2</v>
      </c>
      <c r="E131" s="117"/>
      <c r="F131" s="117">
        <v>525</v>
      </c>
      <c r="G131" s="117">
        <v>825</v>
      </c>
      <c r="H131" s="123">
        <v>5</v>
      </c>
      <c r="I131" s="117">
        <v>3</v>
      </c>
      <c r="J131" s="115">
        <v>374</v>
      </c>
      <c r="K131" s="115" t="s">
        <v>23</v>
      </c>
      <c r="L131" s="117" t="s">
        <v>24</v>
      </c>
      <c r="M131" s="66">
        <v>333422</v>
      </c>
      <c r="N131" s="66">
        <v>5038</v>
      </c>
      <c r="O131" s="66">
        <v>113364</v>
      </c>
      <c r="P131" s="66">
        <v>446786</v>
      </c>
      <c r="Q131" s="67">
        <v>0.4</v>
      </c>
      <c r="R131" s="66">
        <v>178714</v>
      </c>
      <c r="S131" s="66">
        <v>625500</v>
      </c>
      <c r="T131" s="106">
        <f>IF(A131="Upgrade",IF(OR(H131=4,H131=5),_xlfn.XLOOKUP(I131,'Renewal Rates'!$A$22:$A$27,'Renewal Rates'!$B$22:$B$27,'Renewal Rates'!$B$27,0),'Renewal Rates'!$F$7),IF(A131="Renewal",100%,0%))</f>
        <v>0.21</v>
      </c>
      <c r="U131" s="68">
        <f t="shared" si="1"/>
        <v>131355</v>
      </c>
    </row>
    <row r="132" spans="1:21" s="41" customFormat="1" ht="13.8" x14ac:dyDescent="0.3">
      <c r="A132" s="115" t="s">
        <v>21</v>
      </c>
      <c r="B132" s="116">
        <v>2000809140</v>
      </c>
      <c r="C132" s="116">
        <v>4.0149999999999997</v>
      </c>
      <c r="D132" s="117">
        <v>39.6</v>
      </c>
      <c r="E132" s="117"/>
      <c r="F132" s="117">
        <v>375</v>
      </c>
      <c r="G132" s="117">
        <v>825</v>
      </c>
      <c r="H132" s="123"/>
      <c r="I132" s="117" t="s">
        <v>122</v>
      </c>
      <c r="J132" s="115">
        <v>374</v>
      </c>
      <c r="K132" s="115" t="s">
        <v>23</v>
      </c>
      <c r="L132" s="117" t="s">
        <v>24</v>
      </c>
      <c r="M132" s="66">
        <v>187244</v>
      </c>
      <c r="N132" s="66">
        <v>4723</v>
      </c>
      <c r="O132" s="66">
        <v>63663</v>
      </c>
      <c r="P132" s="66">
        <v>250908</v>
      </c>
      <c r="Q132" s="67">
        <v>0.4</v>
      </c>
      <c r="R132" s="66">
        <v>100363</v>
      </c>
      <c r="S132" s="66">
        <v>351271</v>
      </c>
      <c r="T132" s="106">
        <f>IF(A132="Upgrade",IF(OR(H132=4,H132=5),_xlfn.XLOOKUP(I132,'Renewal Rates'!$A$22:$A$27,'Renewal Rates'!$B$22:$B$27,'Renewal Rates'!$B$27,0),'Renewal Rates'!$F$7),IF(A132="Renewal",100%,0%))</f>
        <v>2.6599999999999999E-2</v>
      </c>
      <c r="U132" s="68">
        <f t="shared" ref="U132:U195" si="2">S132*T132</f>
        <v>9343.8086000000003</v>
      </c>
    </row>
    <row r="133" spans="1:21" s="41" customFormat="1" ht="13.8" x14ac:dyDescent="0.3">
      <c r="A133" s="115" t="s">
        <v>21</v>
      </c>
      <c r="B133" s="116">
        <v>2000274925</v>
      </c>
      <c r="C133" s="116">
        <v>4.0149999999999997</v>
      </c>
      <c r="D133" s="117">
        <v>76.8</v>
      </c>
      <c r="E133" s="117"/>
      <c r="F133" s="117">
        <v>375</v>
      </c>
      <c r="G133" s="117">
        <v>825</v>
      </c>
      <c r="H133" s="123"/>
      <c r="I133" s="117" t="s">
        <v>122</v>
      </c>
      <c r="J133" s="115">
        <v>374</v>
      </c>
      <c r="K133" s="115" t="s">
        <v>23</v>
      </c>
      <c r="L133" s="117" t="s">
        <v>24</v>
      </c>
      <c r="M133" s="66">
        <v>345619</v>
      </c>
      <c r="N133" s="66">
        <v>4501</v>
      </c>
      <c r="O133" s="66">
        <v>117510</v>
      </c>
      <c r="P133" s="66">
        <v>463129</v>
      </c>
      <c r="Q133" s="67">
        <v>0.4</v>
      </c>
      <c r="R133" s="66">
        <v>185252</v>
      </c>
      <c r="S133" s="66">
        <v>648381</v>
      </c>
      <c r="T133" s="106">
        <f>IF(A133="Upgrade",IF(OR(H133=4,H133=5),_xlfn.XLOOKUP(I133,'Renewal Rates'!$A$22:$A$27,'Renewal Rates'!$B$22:$B$27,'Renewal Rates'!$B$27,0),'Renewal Rates'!$F$7),IF(A133="Renewal",100%,0%))</f>
        <v>2.6599999999999999E-2</v>
      </c>
      <c r="U133" s="68">
        <f t="shared" si="2"/>
        <v>17246.934600000001</v>
      </c>
    </row>
    <row r="134" spans="1:21" s="41" customFormat="1" ht="13.8" x14ac:dyDescent="0.3">
      <c r="A134" s="115" t="s">
        <v>21</v>
      </c>
      <c r="B134" s="116">
        <v>2000085912</v>
      </c>
      <c r="C134" s="116">
        <v>4.0140000000000002</v>
      </c>
      <c r="D134" s="117">
        <v>59.7</v>
      </c>
      <c r="E134" s="117"/>
      <c r="F134" s="117">
        <v>225</v>
      </c>
      <c r="G134" s="117">
        <v>600</v>
      </c>
      <c r="H134" s="123"/>
      <c r="I134" s="117" t="s">
        <v>122</v>
      </c>
      <c r="J134" s="115">
        <v>374</v>
      </c>
      <c r="K134" s="115" t="s">
        <v>23</v>
      </c>
      <c r="L134" s="117" t="s">
        <v>24</v>
      </c>
      <c r="M134" s="66">
        <v>220784</v>
      </c>
      <c r="N134" s="66">
        <v>3699</v>
      </c>
      <c r="O134" s="66">
        <v>75067</v>
      </c>
      <c r="P134" s="66">
        <v>295851</v>
      </c>
      <c r="Q134" s="67">
        <v>0.4</v>
      </c>
      <c r="R134" s="66">
        <v>118340</v>
      </c>
      <c r="S134" s="66">
        <v>414191</v>
      </c>
      <c r="T134" s="106">
        <f>IF(A134="Upgrade",IF(OR(H134=4,H134=5),_xlfn.XLOOKUP(I134,'Renewal Rates'!$A$22:$A$27,'Renewal Rates'!$B$22:$B$27,'Renewal Rates'!$B$27,0),'Renewal Rates'!$F$7),IF(A134="Renewal",100%,0%))</f>
        <v>2.6599999999999999E-2</v>
      </c>
      <c r="U134" s="68">
        <f t="shared" si="2"/>
        <v>11017.480599999999</v>
      </c>
    </row>
    <row r="135" spans="1:21" s="41" customFormat="1" ht="13.8" x14ac:dyDescent="0.3">
      <c r="A135" s="115" t="s">
        <v>21</v>
      </c>
      <c r="B135" s="116">
        <v>2000386763</v>
      </c>
      <c r="C135" s="116">
        <v>4.0140000000000002</v>
      </c>
      <c r="D135" s="117">
        <v>63.5</v>
      </c>
      <c r="E135" s="117"/>
      <c r="F135" s="117">
        <v>225</v>
      </c>
      <c r="G135" s="117">
        <v>600</v>
      </c>
      <c r="H135" s="123"/>
      <c r="I135" s="117" t="s">
        <v>122</v>
      </c>
      <c r="J135" s="115">
        <v>374</v>
      </c>
      <c r="K135" s="115" t="s">
        <v>23</v>
      </c>
      <c r="L135" s="117" t="s">
        <v>24</v>
      </c>
      <c r="M135" s="66">
        <v>224773</v>
      </c>
      <c r="N135" s="66">
        <v>3537</v>
      </c>
      <c r="O135" s="66">
        <v>76423</v>
      </c>
      <c r="P135" s="66">
        <v>301196</v>
      </c>
      <c r="Q135" s="67">
        <v>0.4</v>
      </c>
      <c r="R135" s="66">
        <v>120478</v>
      </c>
      <c r="S135" s="66">
        <v>421674</v>
      </c>
      <c r="T135" s="106">
        <f>IF(A135="Upgrade",IF(OR(H135=4,H135=5),_xlfn.XLOOKUP(I135,'Renewal Rates'!$A$22:$A$27,'Renewal Rates'!$B$22:$B$27,'Renewal Rates'!$B$27,0),'Renewal Rates'!$F$7),IF(A135="Renewal",100%,0%))</f>
        <v>2.6599999999999999E-2</v>
      </c>
      <c r="U135" s="68">
        <f t="shared" si="2"/>
        <v>11216.528399999999</v>
      </c>
    </row>
    <row r="136" spans="1:21" s="41" customFormat="1" ht="13.8" x14ac:dyDescent="0.3">
      <c r="A136" s="115" t="s">
        <v>21</v>
      </c>
      <c r="B136" s="116">
        <v>2000407261</v>
      </c>
      <c r="C136" s="116">
        <v>4.0140000000000002</v>
      </c>
      <c r="D136" s="117">
        <v>82</v>
      </c>
      <c r="E136" s="117"/>
      <c r="F136" s="117">
        <v>225</v>
      </c>
      <c r="G136" s="117">
        <v>600</v>
      </c>
      <c r="H136" s="123"/>
      <c r="I136" s="117" t="s">
        <v>122</v>
      </c>
      <c r="J136" s="115">
        <v>374</v>
      </c>
      <c r="K136" s="115" t="s">
        <v>23</v>
      </c>
      <c r="L136" s="117" t="s">
        <v>24</v>
      </c>
      <c r="M136" s="66">
        <v>282699</v>
      </c>
      <c r="N136" s="66">
        <v>3449</v>
      </c>
      <c r="O136" s="66">
        <v>96118</v>
      </c>
      <c r="P136" s="66">
        <v>378817</v>
      </c>
      <c r="Q136" s="67">
        <v>0.4</v>
      </c>
      <c r="R136" s="66">
        <v>151527</v>
      </c>
      <c r="S136" s="66">
        <v>530344</v>
      </c>
      <c r="T136" s="106">
        <f>IF(A136="Upgrade",IF(OR(H136=4,H136=5),_xlfn.XLOOKUP(I136,'Renewal Rates'!$A$22:$A$27,'Renewal Rates'!$B$22:$B$27,'Renewal Rates'!$B$27,0),'Renewal Rates'!$F$7),IF(A136="Renewal",100%,0%))</f>
        <v>2.6599999999999999E-2</v>
      </c>
      <c r="U136" s="68">
        <f t="shared" si="2"/>
        <v>14107.150399999999</v>
      </c>
    </row>
    <row r="137" spans="1:21" s="41" customFormat="1" ht="13.8" x14ac:dyDescent="0.3">
      <c r="A137" s="115" t="s">
        <v>21</v>
      </c>
      <c r="B137" s="116">
        <v>2000697423</v>
      </c>
      <c r="C137" s="116">
        <v>4.0129999999999999</v>
      </c>
      <c r="D137" s="117">
        <v>25.7</v>
      </c>
      <c r="E137" s="117"/>
      <c r="F137" s="117">
        <v>675</v>
      </c>
      <c r="G137" s="117">
        <v>1050</v>
      </c>
      <c r="H137" s="123">
        <v>5</v>
      </c>
      <c r="I137" s="117">
        <v>3</v>
      </c>
      <c r="J137" s="115">
        <v>374</v>
      </c>
      <c r="K137" s="115" t="s">
        <v>23</v>
      </c>
      <c r="L137" s="117" t="s">
        <v>24</v>
      </c>
      <c r="M137" s="66">
        <v>225604</v>
      </c>
      <c r="N137" s="66">
        <v>8773</v>
      </c>
      <c r="O137" s="66">
        <v>76705</v>
      </c>
      <c r="P137" s="66">
        <v>302309</v>
      </c>
      <c r="Q137" s="67">
        <v>0.4</v>
      </c>
      <c r="R137" s="66">
        <v>120924</v>
      </c>
      <c r="S137" s="66">
        <v>423233</v>
      </c>
      <c r="T137" s="106">
        <f>IF(A137="Upgrade",IF(OR(H137=4,H137=5),_xlfn.XLOOKUP(I137,'Renewal Rates'!$A$22:$A$27,'Renewal Rates'!$B$22:$B$27,'Renewal Rates'!$B$27,0),'Renewal Rates'!$F$7),IF(A137="Renewal",100%,0%))</f>
        <v>0.21</v>
      </c>
      <c r="U137" s="68">
        <f t="shared" si="2"/>
        <v>88878.93</v>
      </c>
    </row>
    <row r="138" spans="1:21" s="41" customFormat="1" ht="13.8" x14ac:dyDescent="0.3">
      <c r="A138" s="115" t="s">
        <v>21</v>
      </c>
      <c r="B138" s="116">
        <v>2000237110</v>
      </c>
      <c r="C138" s="116">
        <v>4.0129999999999999</v>
      </c>
      <c r="D138" s="117">
        <v>52.4</v>
      </c>
      <c r="E138" s="117"/>
      <c r="F138" s="117">
        <v>600</v>
      </c>
      <c r="G138" s="117">
        <v>1050</v>
      </c>
      <c r="H138" s="123">
        <v>5</v>
      </c>
      <c r="I138" s="117">
        <v>3</v>
      </c>
      <c r="J138" s="115">
        <v>374</v>
      </c>
      <c r="K138" s="115" t="s">
        <v>23</v>
      </c>
      <c r="L138" s="117" t="s">
        <v>24</v>
      </c>
      <c r="M138" s="66">
        <v>369491</v>
      </c>
      <c r="N138" s="66">
        <v>7056</v>
      </c>
      <c r="O138" s="66">
        <v>125627</v>
      </c>
      <c r="P138" s="66">
        <v>495118</v>
      </c>
      <c r="Q138" s="67">
        <v>0.4</v>
      </c>
      <c r="R138" s="66">
        <v>198047</v>
      </c>
      <c r="S138" s="66">
        <v>693165</v>
      </c>
      <c r="T138" s="106">
        <f>IF(A138="Upgrade",IF(OR(H138=4,H138=5),_xlfn.XLOOKUP(I138,'Renewal Rates'!$A$22:$A$27,'Renewal Rates'!$B$22:$B$27,'Renewal Rates'!$B$27,0),'Renewal Rates'!$F$7),IF(A138="Renewal",100%,0%))</f>
        <v>0.21</v>
      </c>
      <c r="U138" s="68">
        <f t="shared" si="2"/>
        <v>145564.65</v>
      </c>
    </row>
    <row r="139" spans="1:21" s="41" customFormat="1" ht="13.8" x14ac:dyDescent="0.3">
      <c r="A139" s="115" t="s">
        <v>21</v>
      </c>
      <c r="B139" s="116">
        <v>2000623816</v>
      </c>
      <c r="C139" s="116">
        <v>4.0119999999999996</v>
      </c>
      <c r="D139" s="117">
        <v>71.5</v>
      </c>
      <c r="E139" s="117"/>
      <c r="F139" s="117">
        <v>600</v>
      </c>
      <c r="G139" s="117">
        <v>1050</v>
      </c>
      <c r="H139" s="123"/>
      <c r="I139" s="117" t="s">
        <v>122</v>
      </c>
      <c r="J139" s="115">
        <v>374</v>
      </c>
      <c r="K139" s="115" t="s">
        <v>23</v>
      </c>
      <c r="L139" s="117" t="s">
        <v>24</v>
      </c>
      <c r="M139" s="66">
        <v>476335</v>
      </c>
      <c r="N139" s="66">
        <v>6658</v>
      </c>
      <c r="O139" s="66">
        <v>161954</v>
      </c>
      <c r="P139" s="66">
        <v>638289</v>
      </c>
      <c r="Q139" s="67">
        <v>0.4</v>
      </c>
      <c r="R139" s="66">
        <v>255316</v>
      </c>
      <c r="S139" s="66">
        <v>893604</v>
      </c>
      <c r="T139" s="106">
        <f>IF(A139="Upgrade",IF(OR(H139=4,H139=5),_xlfn.XLOOKUP(I139,'Renewal Rates'!$A$22:$A$27,'Renewal Rates'!$B$22:$B$27,'Renewal Rates'!$B$27,0),'Renewal Rates'!$F$7),IF(A139="Renewal",100%,0%))</f>
        <v>2.6599999999999999E-2</v>
      </c>
      <c r="U139" s="68">
        <f t="shared" si="2"/>
        <v>23769.866399999999</v>
      </c>
    </row>
    <row r="140" spans="1:21" s="41" customFormat="1" ht="13.8" x14ac:dyDescent="0.3">
      <c r="A140" s="115" t="s">
        <v>21</v>
      </c>
      <c r="B140" s="116">
        <v>2000135331</v>
      </c>
      <c r="C140" s="116">
        <v>4.0110000000000001</v>
      </c>
      <c r="D140" s="117">
        <v>59.4</v>
      </c>
      <c r="E140" s="117"/>
      <c r="F140" s="117">
        <v>600</v>
      </c>
      <c r="G140" s="117">
        <v>1050</v>
      </c>
      <c r="H140" s="123"/>
      <c r="I140" s="117" t="s">
        <v>122</v>
      </c>
      <c r="J140" s="115">
        <v>374</v>
      </c>
      <c r="K140" s="115" t="s">
        <v>23</v>
      </c>
      <c r="L140" s="117" t="s">
        <v>24</v>
      </c>
      <c r="M140" s="66">
        <v>406370</v>
      </c>
      <c r="N140" s="66">
        <v>6843</v>
      </c>
      <c r="O140" s="66">
        <v>138166</v>
      </c>
      <c r="P140" s="66">
        <v>544536</v>
      </c>
      <c r="Q140" s="67">
        <v>0.4</v>
      </c>
      <c r="R140" s="66">
        <v>217814</v>
      </c>
      <c r="S140" s="66">
        <v>762350</v>
      </c>
      <c r="T140" s="106">
        <f>IF(A140="Upgrade",IF(OR(H140=4,H140=5),_xlfn.XLOOKUP(I140,'Renewal Rates'!$A$22:$A$27,'Renewal Rates'!$B$22:$B$27,'Renewal Rates'!$B$27,0),'Renewal Rates'!$F$7),IF(A140="Renewal",100%,0%))</f>
        <v>2.6599999999999999E-2</v>
      </c>
      <c r="U140" s="68">
        <f t="shared" si="2"/>
        <v>20278.509999999998</v>
      </c>
    </row>
    <row r="141" spans="1:21" s="41" customFormat="1" ht="13.8" x14ac:dyDescent="0.3">
      <c r="A141" s="115" t="s">
        <v>21</v>
      </c>
      <c r="B141" s="116">
        <v>2000648748</v>
      </c>
      <c r="C141" s="116">
        <v>4.0110000000000001</v>
      </c>
      <c r="D141" s="117">
        <v>80.400000000000006</v>
      </c>
      <c r="E141" s="117"/>
      <c r="F141" s="117">
        <v>525</v>
      </c>
      <c r="G141" s="117">
        <v>1050</v>
      </c>
      <c r="H141" s="123"/>
      <c r="I141" s="117" t="s">
        <v>122</v>
      </c>
      <c r="J141" s="115">
        <v>374</v>
      </c>
      <c r="K141" s="115" t="s">
        <v>23</v>
      </c>
      <c r="L141" s="117" t="s">
        <v>24</v>
      </c>
      <c r="M141" s="66">
        <v>516865</v>
      </c>
      <c r="N141" s="66">
        <v>6432</v>
      </c>
      <c r="O141" s="66">
        <v>175734</v>
      </c>
      <c r="P141" s="66">
        <v>692600</v>
      </c>
      <c r="Q141" s="67">
        <v>0.4</v>
      </c>
      <c r="R141" s="66">
        <v>277040</v>
      </c>
      <c r="S141" s="66">
        <v>969639</v>
      </c>
      <c r="T141" s="106">
        <f>IF(A141="Upgrade",IF(OR(H141=4,H141=5),_xlfn.XLOOKUP(I141,'Renewal Rates'!$A$22:$A$27,'Renewal Rates'!$B$22:$B$27,'Renewal Rates'!$B$27,0),'Renewal Rates'!$F$7),IF(A141="Renewal",100%,0%))</f>
        <v>2.6599999999999999E-2</v>
      </c>
      <c r="U141" s="68">
        <f t="shared" si="2"/>
        <v>25792.397399999998</v>
      </c>
    </row>
    <row r="142" spans="1:21" s="41" customFormat="1" ht="13.8" x14ac:dyDescent="0.3">
      <c r="A142" s="115" t="s">
        <v>21</v>
      </c>
      <c r="B142" s="116">
        <v>2000595494</v>
      </c>
      <c r="C142" s="116">
        <v>4.01</v>
      </c>
      <c r="D142" s="117">
        <v>79.400000000000006</v>
      </c>
      <c r="E142" s="117"/>
      <c r="F142" s="117">
        <v>525</v>
      </c>
      <c r="G142" s="117">
        <v>900</v>
      </c>
      <c r="H142" s="123"/>
      <c r="I142" s="117" t="s">
        <v>122</v>
      </c>
      <c r="J142" s="115">
        <v>374</v>
      </c>
      <c r="K142" s="115" t="s">
        <v>23</v>
      </c>
      <c r="L142" s="117" t="s">
        <v>24</v>
      </c>
      <c r="M142" s="66">
        <v>436412</v>
      </c>
      <c r="N142" s="66">
        <v>5496</v>
      </c>
      <c r="O142" s="66">
        <v>148380</v>
      </c>
      <c r="P142" s="66">
        <v>584792</v>
      </c>
      <c r="Q142" s="67">
        <v>0.4</v>
      </c>
      <c r="R142" s="66">
        <v>233917</v>
      </c>
      <c r="S142" s="66">
        <v>818709</v>
      </c>
      <c r="T142" s="106">
        <f>IF(A142="Upgrade",IF(OR(H142=4,H142=5),_xlfn.XLOOKUP(I142,'Renewal Rates'!$A$22:$A$27,'Renewal Rates'!$B$22:$B$27,'Renewal Rates'!$B$27,0),'Renewal Rates'!$F$7),IF(A142="Renewal",100%,0%))</f>
        <v>2.6599999999999999E-2</v>
      </c>
      <c r="U142" s="68">
        <f t="shared" si="2"/>
        <v>21777.6594</v>
      </c>
    </row>
    <row r="143" spans="1:21" s="41" customFormat="1" ht="13.8" x14ac:dyDescent="0.3">
      <c r="A143" s="115" t="s">
        <v>21</v>
      </c>
      <c r="B143" s="116">
        <v>2000660354</v>
      </c>
      <c r="C143" s="116">
        <v>4.0090000000000003</v>
      </c>
      <c r="D143" s="117">
        <v>51.4</v>
      </c>
      <c r="E143" s="117"/>
      <c r="F143" s="117">
        <v>225</v>
      </c>
      <c r="G143" s="117">
        <v>450</v>
      </c>
      <c r="H143" s="123"/>
      <c r="I143" s="117" t="s">
        <v>122</v>
      </c>
      <c r="J143" s="115">
        <v>374</v>
      </c>
      <c r="K143" s="115" t="s">
        <v>23</v>
      </c>
      <c r="L143" s="117" t="s">
        <v>24</v>
      </c>
      <c r="M143" s="66">
        <v>158652</v>
      </c>
      <c r="N143" s="66">
        <v>3089</v>
      </c>
      <c r="O143" s="66">
        <v>53942</v>
      </c>
      <c r="P143" s="66">
        <v>212594</v>
      </c>
      <c r="Q143" s="67">
        <v>0.4</v>
      </c>
      <c r="R143" s="66">
        <v>85037</v>
      </c>
      <c r="S143" s="66">
        <v>297631</v>
      </c>
      <c r="T143" s="106">
        <f>IF(A143="Upgrade",IF(OR(H143=4,H143=5),_xlfn.XLOOKUP(I143,'Renewal Rates'!$A$22:$A$27,'Renewal Rates'!$B$22:$B$27,'Renewal Rates'!$B$27,0),'Renewal Rates'!$F$7),IF(A143="Renewal",100%,0%))</f>
        <v>2.6599999999999999E-2</v>
      </c>
      <c r="U143" s="68">
        <f t="shared" si="2"/>
        <v>7916.9845999999998</v>
      </c>
    </row>
    <row r="144" spans="1:21" s="41" customFormat="1" ht="13.8" x14ac:dyDescent="0.3">
      <c r="A144" s="115" t="s">
        <v>21</v>
      </c>
      <c r="B144" s="116">
        <v>2000933610</v>
      </c>
      <c r="C144" s="116">
        <v>4.0090000000000003</v>
      </c>
      <c r="D144" s="117">
        <v>42.5</v>
      </c>
      <c r="E144" s="117"/>
      <c r="F144" s="117">
        <v>225</v>
      </c>
      <c r="G144" s="117">
        <v>450</v>
      </c>
      <c r="H144" s="123"/>
      <c r="I144" s="117" t="s">
        <v>122</v>
      </c>
      <c r="J144" s="115">
        <v>374</v>
      </c>
      <c r="K144" s="115" t="s">
        <v>23</v>
      </c>
      <c r="L144" s="117" t="s">
        <v>24</v>
      </c>
      <c r="M144" s="66">
        <v>113572</v>
      </c>
      <c r="N144" s="66">
        <v>2671</v>
      </c>
      <c r="O144" s="66">
        <v>38615</v>
      </c>
      <c r="P144" s="66">
        <v>152187</v>
      </c>
      <c r="Q144" s="67">
        <v>0.4</v>
      </c>
      <c r="R144" s="66">
        <v>60875</v>
      </c>
      <c r="S144" s="66">
        <v>213062</v>
      </c>
      <c r="T144" s="106">
        <f>IF(A144="Upgrade",IF(OR(H144=4,H144=5),_xlfn.XLOOKUP(I144,'Renewal Rates'!$A$22:$A$27,'Renewal Rates'!$B$22:$B$27,'Renewal Rates'!$B$27,0),'Renewal Rates'!$F$7),IF(A144="Renewal",100%,0%))</f>
        <v>2.6599999999999999E-2</v>
      </c>
      <c r="U144" s="68">
        <f t="shared" si="2"/>
        <v>5667.4492</v>
      </c>
    </row>
    <row r="145" spans="1:21" s="41" customFormat="1" ht="13.8" x14ac:dyDescent="0.3">
      <c r="A145" s="115" t="s">
        <v>21</v>
      </c>
      <c r="B145" s="116">
        <v>2000243014</v>
      </c>
      <c r="C145" s="116">
        <v>4.0090000000000003</v>
      </c>
      <c r="D145" s="117">
        <v>67</v>
      </c>
      <c r="E145" s="117"/>
      <c r="F145" s="117">
        <v>225</v>
      </c>
      <c r="G145" s="117">
        <v>450</v>
      </c>
      <c r="H145" s="123"/>
      <c r="I145" s="117" t="s">
        <v>122</v>
      </c>
      <c r="J145" s="115">
        <v>374</v>
      </c>
      <c r="K145" s="115" t="s">
        <v>23</v>
      </c>
      <c r="L145" s="117" t="s">
        <v>24</v>
      </c>
      <c r="M145" s="66">
        <v>189249</v>
      </c>
      <c r="N145" s="66">
        <v>2824</v>
      </c>
      <c r="O145" s="66">
        <v>64345</v>
      </c>
      <c r="P145" s="66">
        <v>253593</v>
      </c>
      <c r="Q145" s="67">
        <v>0.4</v>
      </c>
      <c r="R145" s="66">
        <v>101437</v>
      </c>
      <c r="S145" s="66">
        <v>355031</v>
      </c>
      <c r="T145" s="106">
        <f>IF(A145="Upgrade",IF(OR(H145=4,H145=5),_xlfn.XLOOKUP(I145,'Renewal Rates'!$A$22:$A$27,'Renewal Rates'!$B$22:$B$27,'Renewal Rates'!$B$27,0),'Renewal Rates'!$F$7),IF(A145="Renewal",100%,0%))</f>
        <v>2.6599999999999999E-2</v>
      </c>
      <c r="U145" s="68">
        <f t="shared" si="2"/>
        <v>9443.8245999999999</v>
      </c>
    </row>
    <row r="146" spans="1:21" s="41" customFormat="1" ht="13.8" x14ac:dyDescent="0.3">
      <c r="A146" s="115" t="s">
        <v>21</v>
      </c>
      <c r="B146" s="116">
        <v>2000453841</v>
      </c>
      <c r="C146" s="116">
        <v>4.008</v>
      </c>
      <c r="D146" s="117">
        <v>64.599999999999994</v>
      </c>
      <c r="E146" s="117"/>
      <c r="F146" s="117">
        <v>375</v>
      </c>
      <c r="G146" s="117">
        <v>825</v>
      </c>
      <c r="H146" s="123"/>
      <c r="I146" s="117" t="s">
        <v>122</v>
      </c>
      <c r="J146" s="115">
        <v>374</v>
      </c>
      <c r="K146" s="115" t="s">
        <v>23</v>
      </c>
      <c r="L146" s="117" t="s">
        <v>24</v>
      </c>
      <c r="M146" s="66">
        <v>330962</v>
      </c>
      <c r="N146" s="66">
        <v>5126</v>
      </c>
      <c r="O146" s="66">
        <v>112527</v>
      </c>
      <c r="P146" s="66">
        <v>443489</v>
      </c>
      <c r="Q146" s="67">
        <v>0.4</v>
      </c>
      <c r="R146" s="66">
        <v>177396</v>
      </c>
      <c r="S146" s="66">
        <v>620885</v>
      </c>
      <c r="T146" s="106">
        <f>IF(A146="Upgrade",IF(OR(H146=4,H146=5),_xlfn.XLOOKUP(I146,'Renewal Rates'!$A$22:$A$27,'Renewal Rates'!$B$22:$B$27,'Renewal Rates'!$B$27,0),'Renewal Rates'!$F$7),IF(A146="Renewal",100%,0%))</f>
        <v>2.6599999999999999E-2</v>
      </c>
      <c r="U146" s="68">
        <f t="shared" si="2"/>
        <v>16515.540999999997</v>
      </c>
    </row>
    <row r="147" spans="1:21" s="41" customFormat="1" ht="13.8" x14ac:dyDescent="0.3">
      <c r="A147" s="115" t="s">
        <v>21</v>
      </c>
      <c r="B147" s="116">
        <v>2000012207</v>
      </c>
      <c r="C147" s="116">
        <v>4.0069999999999997</v>
      </c>
      <c r="D147" s="117">
        <v>43.8</v>
      </c>
      <c r="E147" s="117"/>
      <c r="F147" s="117">
        <v>375</v>
      </c>
      <c r="G147" s="117">
        <v>750</v>
      </c>
      <c r="H147" s="123"/>
      <c r="I147" s="117" t="s">
        <v>122</v>
      </c>
      <c r="J147" s="115">
        <v>374</v>
      </c>
      <c r="K147" s="115" t="s">
        <v>23</v>
      </c>
      <c r="L147" s="117" t="s">
        <v>24</v>
      </c>
      <c r="M147" s="66">
        <v>186846</v>
      </c>
      <c r="N147" s="66">
        <v>4266</v>
      </c>
      <c r="O147" s="66">
        <v>63528</v>
      </c>
      <c r="P147" s="66">
        <v>250374</v>
      </c>
      <c r="Q147" s="67">
        <v>0.4</v>
      </c>
      <c r="R147" s="66">
        <v>100150</v>
      </c>
      <c r="S147" s="66">
        <v>350524</v>
      </c>
      <c r="T147" s="106">
        <f>IF(A147="Upgrade",IF(OR(H147=4,H147=5),_xlfn.XLOOKUP(I147,'Renewal Rates'!$A$22:$A$27,'Renewal Rates'!$B$22:$B$27,'Renewal Rates'!$B$27,0),'Renewal Rates'!$F$7),IF(A147="Renewal",100%,0%))</f>
        <v>2.6599999999999999E-2</v>
      </c>
      <c r="U147" s="68">
        <f t="shared" si="2"/>
        <v>9323.9383999999991</v>
      </c>
    </row>
    <row r="148" spans="1:21" s="41" customFormat="1" ht="13.8" x14ac:dyDescent="0.3">
      <c r="A148" s="115" t="s">
        <v>21</v>
      </c>
      <c r="B148" s="116">
        <v>2000878035</v>
      </c>
      <c r="C148" s="116">
        <v>4.0069999999999997</v>
      </c>
      <c r="D148" s="117">
        <v>29.4</v>
      </c>
      <c r="E148" s="117"/>
      <c r="F148" s="117">
        <v>375</v>
      </c>
      <c r="G148" s="117">
        <v>750</v>
      </c>
      <c r="H148" s="123"/>
      <c r="I148" s="117" t="s">
        <v>122</v>
      </c>
      <c r="J148" s="115">
        <v>374</v>
      </c>
      <c r="K148" s="115" t="s">
        <v>23</v>
      </c>
      <c r="L148" s="117" t="s">
        <v>24</v>
      </c>
      <c r="M148" s="66">
        <v>147807</v>
      </c>
      <c r="N148" s="66">
        <v>5031</v>
      </c>
      <c r="O148" s="66">
        <v>50254</v>
      </c>
      <c r="P148" s="66">
        <v>198061</v>
      </c>
      <c r="Q148" s="67">
        <v>0.4</v>
      </c>
      <c r="R148" s="66">
        <v>79225</v>
      </c>
      <c r="S148" s="66">
        <v>277286</v>
      </c>
      <c r="T148" s="106">
        <f>IF(A148="Upgrade",IF(OR(H148=4,H148=5),_xlfn.XLOOKUP(I148,'Renewal Rates'!$A$22:$A$27,'Renewal Rates'!$B$22:$B$27,'Renewal Rates'!$B$27,0),'Renewal Rates'!$F$7),IF(A148="Renewal",100%,0%))</f>
        <v>2.6599999999999999E-2</v>
      </c>
      <c r="U148" s="68">
        <f t="shared" si="2"/>
        <v>7375.8075999999992</v>
      </c>
    </row>
    <row r="149" spans="1:21" s="41" customFormat="1" ht="13.8" x14ac:dyDescent="0.3">
      <c r="A149" s="115" t="s">
        <v>21</v>
      </c>
      <c r="B149" s="116">
        <v>2000826253</v>
      </c>
      <c r="C149" s="116">
        <v>4.0069999999999997</v>
      </c>
      <c r="D149" s="117">
        <v>45.7</v>
      </c>
      <c r="E149" s="117"/>
      <c r="F149" s="117">
        <v>375</v>
      </c>
      <c r="G149" s="117">
        <v>750</v>
      </c>
      <c r="H149" s="123"/>
      <c r="I149" s="117" t="s">
        <v>122</v>
      </c>
      <c r="J149" s="115">
        <v>374</v>
      </c>
      <c r="K149" s="115" t="s">
        <v>23</v>
      </c>
      <c r="L149" s="117" t="s">
        <v>24</v>
      </c>
      <c r="M149" s="66">
        <v>189431</v>
      </c>
      <c r="N149" s="66">
        <v>4145</v>
      </c>
      <c r="O149" s="66">
        <v>64406</v>
      </c>
      <c r="P149" s="66">
        <v>253837</v>
      </c>
      <c r="Q149" s="67">
        <v>0.4</v>
      </c>
      <c r="R149" s="66">
        <v>101535</v>
      </c>
      <c r="S149" s="66">
        <v>355372</v>
      </c>
      <c r="T149" s="106">
        <f>IF(A149="Upgrade",IF(OR(H149=4,H149=5),_xlfn.XLOOKUP(I149,'Renewal Rates'!$A$22:$A$27,'Renewal Rates'!$B$22:$B$27,'Renewal Rates'!$B$27,0),'Renewal Rates'!$F$7),IF(A149="Renewal",100%,0%))</f>
        <v>2.6599999999999999E-2</v>
      </c>
      <c r="U149" s="68">
        <f t="shared" si="2"/>
        <v>9452.895199999999</v>
      </c>
    </row>
    <row r="150" spans="1:21" s="41" customFormat="1" ht="13.8" x14ac:dyDescent="0.3">
      <c r="A150" s="115" t="s">
        <v>21</v>
      </c>
      <c r="B150" s="116">
        <v>2000198616</v>
      </c>
      <c r="C150" s="116">
        <v>4.0069999999999997</v>
      </c>
      <c r="D150" s="117">
        <v>24.9</v>
      </c>
      <c r="E150" s="117"/>
      <c r="F150" s="117">
        <v>225</v>
      </c>
      <c r="G150" s="117">
        <v>750</v>
      </c>
      <c r="H150" s="123"/>
      <c r="I150" s="117" t="s">
        <v>122</v>
      </c>
      <c r="J150" s="115">
        <v>374</v>
      </c>
      <c r="K150" s="115" t="s">
        <v>23</v>
      </c>
      <c r="L150" s="117" t="s">
        <v>24</v>
      </c>
      <c r="M150" s="66">
        <v>122334</v>
      </c>
      <c r="N150" s="66">
        <v>4905</v>
      </c>
      <c r="O150" s="66">
        <v>41594</v>
      </c>
      <c r="P150" s="66">
        <v>163928</v>
      </c>
      <c r="Q150" s="67">
        <v>0.4</v>
      </c>
      <c r="R150" s="66">
        <v>65571</v>
      </c>
      <c r="S150" s="66">
        <v>229499</v>
      </c>
      <c r="T150" s="106">
        <f>IF(A150="Upgrade",IF(OR(H150=4,H150=5),_xlfn.XLOOKUP(I150,'Renewal Rates'!$A$22:$A$27,'Renewal Rates'!$B$22:$B$27,'Renewal Rates'!$B$27,0),'Renewal Rates'!$F$7),IF(A150="Renewal",100%,0%))</f>
        <v>2.6599999999999999E-2</v>
      </c>
      <c r="U150" s="68">
        <f t="shared" si="2"/>
        <v>6104.6733999999997</v>
      </c>
    </row>
    <row r="151" spans="1:21" s="41" customFormat="1" ht="13.8" x14ac:dyDescent="0.3">
      <c r="A151" s="115" t="s">
        <v>21</v>
      </c>
      <c r="B151" s="116">
        <v>2000380086</v>
      </c>
      <c r="C151" s="116">
        <v>4.0069999999999997</v>
      </c>
      <c r="D151" s="117">
        <v>47.7</v>
      </c>
      <c r="E151" s="117"/>
      <c r="F151" s="117">
        <v>225</v>
      </c>
      <c r="G151" s="117">
        <v>750</v>
      </c>
      <c r="H151" s="123"/>
      <c r="I151" s="117" t="s">
        <v>122</v>
      </c>
      <c r="J151" s="115">
        <v>374</v>
      </c>
      <c r="K151" s="115" t="s">
        <v>23</v>
      </c>
      <c r="L151" s="117" t="s">
        <v>24</v>
      </c>
      <c r="M151" s="66">
        <v>211546</v>
      </c>
      <c r="N151" s="66">
        <v>4438</v>
      </c>
      <c r="O151" s="66">
        <v>71925</v>
      </c>
      <c r="P151" s="66">
        <v>283471</v>
      </c>
      <c r="Q151" s="67">
        <v>0.4</v>
      </c>
      <c r="R151" s="66">
        <v>113388</v>
      </c>
      <c r="S151" s="66">
        <v>396859</v>
      </c>
      <c r="T151" s="106">
        <f>IF(A151="Upgrade",IF(OR(H151=4,H151=5),_xlfn.XLOOKUP(I151,'Renewal Rates'!$A$22:$A$27,'Renewal Rates'!$B$22:$B$27,'Renewal Rates'!$B$27,0),'Renewal Rates'!$F$7),IF(A151="Renewal",100%,0%))</f>
        <v>2.6599999999999999E-2</v>
      </c>
      <c r="U151" s="68">
        <f t="shared" si="2"/>
        <v>10556.4494</v>
      </c>
    </row>
    <row r="152" spans="1:21" s="41" customFormat="1" ht="13.8" x14ac:dyDescent="0.3">
      <c r="A152" s="115" t="s">
        <v>21</v>
      </c>
      <c r="B152" s="116">
        <v>2000422225</v>
      </c>
      <c r="C152" s="116">
        <v>4.0060000000000002</v>
      </c>
      <c r="D152" s="117">
        <v>83.3</v>
      </c>
      <c r="E152" s="117"/>
      <c r="F152" s="117">
        <v>225</v>
      </c>
      <c r="G152" s="117">
        <v>600</v>
      </c>
      <c r="H152" s="123"/>
      <c r="I152" s="117" t="s">
        <v>122</v>
      </c>
      <c r="J152" s="115">
        <v>374</v>
      </c>
      <c r="K152" s="115" t="s">
        <v>23</v>
      </c>
      <c r="L152" s="117" t="s">
        <v>24</v>
      </c>
      <c r="M152" s="66">
        <v>284087</v>
      </c>
      <c r="N152" s="66">
        <v>3410</v>
      </c>
      <c r="O152" s="66">
        <v>96590</v>
      </c>
      <c r="P152" s="66">
        <v>380677</v>
      </c>
      <c r="Q152" s="67">
        <v>0.4</v>
      </c>
      <c r="R152" s="66">
        <v>152271</v>
      </c>
      <c r="S152" s="66">
        <v>532947</v>
      </c>
      <c r="T152" s="106">
        <f>IF(A152="Upgrade",IF(OR(H152=4,H152=5),_xlfn.XLOOKUP(I152,'Renewal Rates'!$A$22:$A$27,'Renewal Rates'!$B$22:$B$27,'Renewal Rates'!$B$27,0),'Renewal Rates'!$F$7),IF(A152="Renewal",100%,0%))</f>
        <v>2.6599999999999999E-2</v>
      </c>
      <c r="U152" s="68">
        <f t="shared" si="2"/>
        <v>14176.3902</v>
      </c>
    </row>
    <row r="153" spans="1:21" s="41" customFormat="1" ht="13.8" x14ac:dyDescent="0.3">
      <c r="A153" s="115" t="s">
        <v>21</v>
      </c>
      <c r="B153" s="116">
        <v>2000648643</v>
      </c>
      <c r="C153" s="116">
        <v>4.0060000000000002</v>
      </c>
      <c r="D153" s="117">
        <v>14.5</v>
      </c>
      <c r="E153" s="117"/>
      <c r="F153" s="117">
        <v>225</v>
      </c>
      <c r="G153" s="117">
        <v>600</v>
      </c>
      <c r="H153" s="123"/>
      <c r="I153" s="117" t="s">
        <v>122</v>
      </c>
      <c r="J153" s="115">
        <v>374</v>
      </c>
      <c r="K153" s="115" t="s">
        <v>23</v>
      </c>
      <c r="L153" s="117" t="s">
        <v>24</v>
      </c>
      <c r="M153" s="66">
        <v>77844</v>
      </c>
      <c r="N153" s="66">
        <v>5386</v>
      </c>
      <c r="O153" s="66">
        <v>26467</v>
      </c>
      <c r="P153" s="66">
        <v>104311</v>
      </c>
      <c r="Q153" s="67">
        <v>0.4</v>
      </c>
      <c r="R153" s="66">
        <v>41724</v>
      </c>
      <c r="S153" s="66">
        <v>146035</v>
      </c>
      <c r="T153" s="106">
        <f>IF(A153="Upgrade",IF(OR(H153=4,H153=5),_xlfn.XLOOKUP(I153,'Renewal Rates'!$A$22:$A$27,'Renewal Rates'!$B$22:$B$27,'Renewal Rates'!$B$27,0),'Renewal Rates'!$F$7),IF(A153="Renewal",100%,0%))</f>
        <v>2.6599999999999999E-2</v>
      </c>
      <c r="U153" s="68">
        <f t="shared" si="2"/>
        <v>3884.5309999999999</v>
      </c>
    </row>
    <row r="154" spans="1:21" s="41" customFormat="1" ht="13.8" x14ac:dyDescent="0.3">
      <c r="A154" s="115" t="s">
        <v>25</v>
      </c>
      <c r="B154" s="116" t="s">
        <v>22</v>
      </c>
      <c r="C154" s="116">
        <v>4.0030000000000001</v>
      </c>
      <c r="D154" s="117"/>
      <c r="E154" s="117">
        <v>98.5</v>
      </c>
      <c r="F154" s="117"/>
      <c r="G154" s="117">
        <v>450</v>
      </c>
      <c r="H154" s="123"/>
      <c r="I154" s="117" t="s">
        <v>122</v>
      </c>
      <c r="J154" s="115">
        <v>374</v>
      </c>
      <c r="K154" s="115" t="s">
        <v>23</v>
      </c>
      <c r="L154" s="117" t="s">
        <v>24</v>
      </c>
      <c r="M154" s="66">
        <v>250575</v>
      </c>
      <c r="N154" s="66">
        <v>2543</v>
      </c>
      <c r="O154" s="66">
        <v>85196</v>
      </c>
      <c r="P154" s="66">
        <v>335771</v>
      </c>
      <c r="Q154" s="67">
        <v>0.4</v>
      </c>
      <c r="R154" s="66">
        <v>134308</v>
      </c>
      <c r="S154" s="66">
        <v>470079</v>
      </c>
      <c r="T154" s="106">
        <f>IF(A154="Upgrade",IF(OR(H154=4,H154=5),_xlfn.XLOOKUP(I154,'Renewal Rates'!$A$22:$A$27,'Renewal Rates'!$B$22:$B$27,'Renewal Rates'!$B$27,0),'Renewal Rates'!$F$7),IF(A154="Renewal",100%,0%))</f>
        <v>0</v>
      </c>
      <c r="U154" s="68">
        <f t="shared" si="2"/>
        <v>0</v>
      </c>
    </row>
    <row r="155" spans="1:21" s="41" customFormat="1" ht="13.8" x14ac:dyDescent="0.3">
      <c r="A155" s="115" t="s">
        <v>21</v>
      </c>
      <c r="B155" s="116">
        <v>2000274409</v>
      </c>
      <c r="C155" s="116">
        <v>4.0330000000000004</v>
      </c>
      <c r="D155" s="117">
        <v>30.4</v>
      </c>
      <c r="E155" s="117"/>
      <c r="F155" s="117">
        <v>450</v>
      </c>
      <c r="G155" s="117">
        <v>600</v>
      </c>
      <c r="H155" s="123"/>
      <c r="I155" s="117" t="s">
        <v>122</v>
      </c>
      <c r="J155" s="115">
        <v>374</v>
      </c>
      <c r="K155" s="115" t="s">
        <v>23</v>
      </c>
      <c r="L155" s="117" t="s">
        <v>24</v>
      </c>
      <c r="M155" s="66">
        <v>130200</v>
      </c>
      <c r="N155" s="66">
        <v>4277</v>
      </c>
      <c r="O155" s="66">
        <v>44268</v>
      </c>
      <c r="P155" s="66">
        <v>174468</v>
      </c>
      <c r="Q155" s="67">
        <v>0.4</v>
      </c>
      <c r="R155" s="66">
        <v>69787</v>
      </c>
      <c r="S155" s="66">
        <v>244255</v>
      </c>
      <c r="T155" s="106">
        <f>IF(A155="Upgrade",IF(OR(H155=4,H155=5),_xlfn.XLOOKUP(I155,'Renewal Rates'!$A$22:$A$27,'Renewal Rates'!$B$22:$B$27,'Renewal Rates'!$B$27,0),'Renewal Rates'!$F$7),IF(A155="Renewal",100%,0%))</f>
        <v>2.6599999999999999E-2</v>
      </c>
      <c r="U155" s="68">
        <f t="shared" si="2"/>
        <v>6497.183</v>
      </c>
    </row>
    <row r="156" spans="1:21" s="41" customFormat="1" ht="13.8" x14ac:dyDescent="0.3">
      <c r="A156" s="115" t="s">
        <v>21</v>
      </c>
      <c r="B156" s="116">
        <v>2000043411</v>
      </c>
      <c r="C156" s="116">
        <v>4.032</v>
      </c>
      <c r="D156" s="117">
        <v>8.3000000000000007</v>
      </c>
      <c r="E156" s="117"/>
      <c r="F156" s="117">
        <v>450</v>
      </c>
      <c r="G156" s="117">
        <v>600</v>
      </c>
      <c r="H156" s="123"/>
      <c r="I156" s="117" t="s">
        <v>122</v>
      </c>
      <c r="J156" s="115">
        <v>374</v>
      </c>
      <c r="K156" s="115" t="s">
        <v>23</v>
      </c>
      <c r="L156" s="117" t="s">
        <v>24</v>
      </c>
      <c r="M156" s="66">
        <v>52036</v>
      </c>
      <c r="N156" s="66">
        <v>6274</v>
      </c>
      <c r="O156" s="66">
        <v>17692</v>
      </c>
      <c r="P156" s="66">
        <v>69729</v>
      </c>
      <c r="Q156" s="67">
        <v>0.4</v>
      </c>
      <c r="R156" s="66">
        <v>27892</v>
      </c>
      <c r="S156" s="66">
        <v>97620</v>
      </c>
      <c r="T156" s="106">
        <f>IF(A156="Upgrade",IF(OR(H156=4,H156=5),_xlfn.XLOOKUP(I156,'Renewal Rates'!$A$22:$A$27,'Renewal Rates'!$B$22:$B$27,'Renewal Rates'!$B$27,0),'Renewal Rates'!$F$7),IF(A156="Renewal",100%,0%))</f>
        <v>2.6599999999999999E-2</v>
      </c>
      <c r="U156" s="68">
        <f t="shared" si="2"/>
        <v>2596.692</v>
      </c>
    </row>
    <row r="157" spans="1:21" s="41" customFormat="1" ht="13.8" x14ac:dyDescent="0.3">
      <c r="A157" s="115" t="s">
        <v>21</v>
      </c>
      <c r="B157" s="116">
        <v>2000207751</v>
      </c>
      <c r="C157" s="116">
        <v>4.032</v>
      </c>
      <c r="D157" s="117">
        <v>55.9</v>
      </c>
      <c r="E157" s="117"/>
      <c r="F157" s="117">
        <v>450</v>
      </c>
      <c r="G157" s="117">
        <v>600</v>
      </c>
      <c r="H157" s="123"/>
      <c r="I157" s="117" t="s">
        <v>122</v>
      </c>
      <c r="J157" s="115">
        <v>374</v>
      </c>
      <c r="K157" s="115" t="s">
        <v>23</v>
      </c>
      <c r="L157" s="117" t="s">
        <v>24</v>
      </c>
      <c r="M157" s="66">
        <v>197453</v>
      </c>
      <c r="N157" s="66">
        <v>3531</v>
      </c>
      <c r="O157" s="66">
        <v>67134</v>
      </c>
      <c r="P157" s="66">
        <v>264587</v>
      </c>
      <c r="Q157" s="67">
        <v>0.4</v>
      </c>
      <c r="R157" s="66">
        <v>105835</v>
      </c>
      <c r="S157" s="66">
        <v>370422</v>
      </c>
      <c r="T157" s="106">
        <f>IF(A157="Upgrade",IF(OR(H157=4,H157=5),_xlfn.XLOOKUP(I157,'Renewal Rates'!$A$22:$A$27,'Renewal Rates'!$B$22:$B$27,'Renewal Rates'!$B$27,0),'Renewal Rates'!$F$7),IF(A157="Renewal",100%,0%))</f>
        <v>2.6599999999999999E-2</v>
      </c>
      <c r="U157" s="68">
        <f t="shared" si="2"/>
        <v>9853.2251999999989</v>
      </c>
    </row>
    <row r="158" spans="1:21" s="41" customFormat="1" ht="13.8" x14ac:dyDescent="0.3">
      <c r="A158" s="115" t="s">
        <v>21</v>
      </c>
      <c r="B158" s="116">
        <v>2000828346</v>
      </c>
      <c r="C158" s="116">
        <v>4.032</v>
      </c>
      <c r="D158" s="117">
        <v>11.7</v>
      </c>
      <c r="E158" s="117"/>
      <c r="F158" s="117">
        <v>225</v>
      </c>
      <c r="G158" s="117">
        <v>600</v>
      </c>
      <c r="H158" s="123"/>
      <c r="I158" s="117" t="s">
        <v>122</v>
      </c>
      <c r="J158" s="115">
        <v>374</v>
      </c>
      <c r="K158" s="115" t="s">
        <v>23</v>
      </c>
      <c r="L158" s="117" t="s">
        <v>24</v>
      </c>
      <c r="M158" s="66">
        <v>75032</v>
      </c>
      <c r="N158" s="66">
        <v>6395</v>
      </c>
      <c r="O158" s="66">
        <v>25511</v>
      </c>
      <c r="P158" s="66">
        <v>100542</v>
      </c>
      <c r="Q158" s="67">
        <v>0.4</v>
      </c>
      <c r="R158" s="66">
        <v>40217</v>
      </c>
      <c r="S158" s="66">
        <v>140759</v>
      </c>
      <c r="T158" s="106">
        <f>IF(A158="Upgrade",IF(OR(H158=4,H158=5),_xlfn.XLOOKUP(I158,'Renewal Rates'!$A$22:$A$27,'Renewal Rates'!$B$22:$B$27,'Renewal Rates'!$B$27,0),'Renewal Rates'!$F$7),IF(A158="Renewal",100%,0%))</f>
        <v>2.6599999999999999E-2</v>
      </c>
      <c r="U158" s="68">
        <f t="shared" si="2"/>
        <v>3744.1893999999998</v>
      </c>
    </row>
    <row r="159" spans="1:21" s="41" customFormat="1" ht="13.8" x14ac:dyDescent="0.3">
      <c r="A159" s="115" t="s">
        <v>21</v>
      </c>
      <c r="B159" s="116">
        <v>2000469495</v>
      </c>
      <c r="C159" s="116">
        <v>4.0309999999999997</v>
      </c>
      <c r="D159" s="117">
        <v>39.799999999999997</v>
      </c>
      <c r="E159" s="117"/>
      <c r="F159" s="117">
        <v>225</v>
      </c>
      <c r="G159" s="117">
        <v>600</v>
      </c>
      <c r="H159" s="123"/>
      <c r="I159" s="117" t="s">
        <v>122</v>
      </c>
      <c r="J159" s="115">
        <v>374</v>
      </c>
      <c r="K159" s="115" t="s">
        <v>23</v>
      </c>
      <c r="L159" s="117" t="s">
        <v>24</v>
      </c>
      <c r="M159" s="66">
        <v>142910</v>
      </c>
      <c r="N159" s="66">
        <v>3593</v>
      </c>
      <c r="O159" s="66">
        <v>48589</v>
      </c>
      <c r="P159" s="66">
        <v>191499</v>
      </c>
      <c r="Q159" s="67">
        <v>0.4</v>
      </c>
      <c r="R159" s="66">
        <v>76600</v>
      </c>
      <c r="S159" s="66">
        <v>268099</v>
      </c>
      <c r="T159" s="106">
        <f>IF(A159="Upgrade",IF(OR(H159=4,H159=5),_xlfn.XLOOKUP(I159,'Renewal Rates'!$A$22:$A$27,'Renewal Rates'!$B$22:$B$27,'Renewal Rates'!$B$27,0),'Renewal Rates'!$F$7),IF(A159="Renewal",100%,0%))</f>
        <v>2.6599999999999999E-2</v>
      </c>
      <c r="U159" s="68">
        <f t="shared" si="2"/>
        <v>7131.4333999999999</v>
      </c>
    </row>
    <row r="160" spans="1:21" s="41" customFormat="1" ht="13.8" x14ac:dyDescent="0.3">
      <c r="A160" s="115" t="s">
        <v>25</v>
      </c>
      <c r="B160" s="116" t="s">
        <v>22</v>
      </c>
      <c r="C160" s="116">
        <v>4.0019999999999998</v>
      </c>
      <c r="D160" s="117"/>
      <c r="E160" s="117">
        <v>85.4</v>
      </c>
      <c r="F160" s="117"/>
      <c r="G160" s="117">
        <v>450</v>
      </c>
      <c r="H160" s="123"/>
      <c r="I160" s="117" t="s">
        <v>122</v>
      </c>
      <c r="J160" s="115">
        <v>374</v>
      </c>
      <c r="K160" s="115" t="s">
        <v>23</v>
      </c>
      <c r="L160" s="117" t="s">
        <v>24</v>
      </c>
      <c r="M160" s="66">
        <v>221807</v>
      </c>
      <c r="N160" s="66">
        <v>2596</v>
      </c>
      <c r="O160" s="66">
        <v>75414</v>
      </c>
      <c r="P160" s="66">
        <v>297221</v>
      </c>
      <c r="Q160" s="67">
        <v>0.4</v>
      </c>
      <c r="R160" s="66">
        <v>118888</v>
      </c>
      <c r="S160" s="66">
        <v>416110</v>
      </c>
      <c r="T160" s="106">
        <f>IF(A160="Upgrade",IF(OR(H160=4,H160=5),_xlfn.XLOOKUP(I160,'Renewal Rates'!$A$22:$A$27,'Renewal Rates'!$B$22:$B$27,'Renewal Rates'!$B$27,0),'Renewal Rates'!$F$7),IF(A160="Renewal",100%,0%))</f>
        <v>0</v>
      </c>
      <c r="U160" s="68">
        <f t="shared" si="2"/>
        <v>0</v>
      </c>
    </row>
    <row r="161" spans="1:21" s="41" customFormat="1" ht="13.8" x14ac:dyDescent="0.3">
      <c r="A161" s="115" t="s">
        <v>21</v>
      </c>
      <c r="B161" s="116">
        <v>2000649953</v>
      </c>
      <c r="C161" s="116">
        <v>4.0369999999999999</v>
      </c>
      <c r="D161" s="117">
        <v>64</v>
      </c>
      <c r="E161" s="117"/>
      <c r="F161" s="117">
        <v>450</v>
      </c>
      <c r="G161" s="117">
        <v>675</v>
      </c>
      <c r="H161" s="123">
        <v>5</v>
      </c>
      <c r="I161" s="117">
        <v>2</v>
      </c>
      <c r="J161" s="115">
        <v>374</v>
      </c>
      <c r="K161" s="115" t="s">
        <v>23</v>
      </c>
      <c r="L161" s="117" t="s">
        <v>24</v>
      </c>
      <c r="M161" s="66">
        <v>291608</v>
      </c>
      <c r="N161" s="66">
        <v>4554</v>
      </c>
      <c r="O161" s="66">
        <v>99147</v>
      </c>
      <c r="P161" s="66">
        <v>390755</v>
      </c>
      <c r="Q161" s="67">
        <v>0.4</v>
      </c>
      <c r="R161" s="66">
        <v>156302</v>
      </c>
      <c r="S161" s="66">
        <v>547056</v>
      </c>
      <c r="T161" s="106">
        <f>IF(A161="Upgrade",IF(OR(H161=4,H161=5),_xlfn.XLOOKUP(I161,'Renewal Rates'!$A$22:$A$27,'Renewal Rates'!$B$22:$B$27,'Renewal Rates'!$B$27,0),'Renewal Rates'!$F$7),IF(A161="Renewal",100%,0%))</f>
        <v>0</v>
      </c>
      <c r="U161" s="68">
        <f t="shared" si="2"/>
        <v>0</v>
      </c>
    </row>
    <row r="162" spans="1:21" s="41" customFormat="1" ht="13.8" x14ac:dyDescent="0.3">
      <c r="A162" s="115" t="s">
        <v>21</v>
      </c>
      <c r="B162" s="116">
        <v>2000600821</v>
      </c>
      <c r="C162" s="116">
        <v>4.0359999999999996</v>
      </c>
      <c r="D162" s="117">
        <v>76.8</v>
      </c>
      <c r="E162" s="117"/>
      <c r="F162" s="117">
        <v>450</v>
      </c>
      <c r="G162" s="117">
        <v>675</v>
      </c>
      <c r="H162" s="123"/>
      <c r="I162" s="117" t="s">
        <v>122</v>
      </c>
      <c r="J162" s="115">
        <v>374</v>
      </c>
      <c r="K162" s="115" t="s">
        <v>23</v>
      </c>
      <c r="L162" s="117" t="s">
        <v>24</v>
      </c>
      <c r="M162" s="66">
        <v>302914</v>
      </c>
      <c r="N162" s="66">
        <v>3945</v>
      </c>
      <c r="O162" s="66">
        <v>102991</v>
      </c>
      <c r="P162" s="66">
        <v>405905</v>
      </c>
      <c r="Q162" s="67">
        <v>0.4</v>
      </c>
      <c r="R162" s="66">
        <v>162362</v>
      </c>
      <c r="S162" s="66">
        <v>568266</v>
      </c>
      <c r="T162" s="106">
        <f>IF(A162="Upgrade",IF(OR(H162=4,H162=5),_xlfn.XLOOKUP(I162,'Renewal Rates'!$A$22:$A$27,'Renewal Rates'!$B$22:$B$27,'Renewal Rates'!$B$27,0),'Renewal Rates'!$F$7),IF(A162="Renewal",100%,0%))</f>
        <v>2.6599999999999999E-2</v>
      </c>
      <c r="U162" s="68">
        <f t="shared" si="2"/>
        <v>15115.875599999999</v>
      </c>
    </row>
    <row r="163" spans="1:21" s="41" customFormat="1" ht="13.8" x14ac:dyDescent="0.3">
      <c r="A163" s="115" t="s">
        <v>21</v>
      </c>
      <c r="B163" s="116">
        <v>2000900429</v>
      </c>
      <c r="C163" s="116">
        <v>4.0350000000000001</v>
      </c>
      <c r="D163" s="117">
        <v>75</v>
      </c>
      <c r="E163" s="117"/>
      <c r="F163" s="117">
        <v>450</v>
      </c>
      <c r="G163" s="117">
        <v>675</v>
      </c>
      <c r="H163" s="123"/>
      <c r="I163" s="117" t="s">
        <v>122</v>
      </c>
      <c r="J163" s="115">
        <v>374</v>
      </c>
      <c r="K163" s="115" t="s">
        <v>23</v>
      </c>
      <c r="L163" s="117" t="s">
        <v>24</v>
      </c>
      <c r="M163" s="66">
        <v>300746</v>
      </c>
      <c r="N163" s="66">
        <v>4011</v>
      </c>
      <c r="O163" s="66">
        <v>102254</v>
      </c>
      <c r="P163" s="66">
        <v>403000</v>
      </c>
      <c r="Q163" s="67">
        <v>0.4</v>
      </c>
      <c r="R163" s="66">
        <v>161200</v>
      </c>
      <c r="S163" s="66">
        <v>564200</v>
      </c>
      <c r="T163" s="106">
        <f>IF(A163="Upgrade",IF(OR(H163=4,H163=5),_xlfn.XLOOKUP(I163,'Renewal Rates'!$A$22:$A$27,'Renewal Rates'!$B$22:$B$27,'Renewal Rates'!$B$27,0),'Renewal Rates'!$F$7),IF(A163="Renewal",100%,0%))</f>
        <v>2.6599999999999999E-2</v>
      </c>
      <c r="U163" s="68">
        <f t="shared" si="2"/>
        <v>15007.72</v>
      </c>
    </row>
    <row r="164" spans="1:21" s="41" customFormat="1" ht="13.8" x14ac:dyDescent="0.3">
      <c r="A164" s="115" t="s">
        <v>21</v>
      </c>
      <c r="B164" s="116">
        <v>2000497424</v>
      </c>
      <c r="C164" s="116">
        <v>4.0350000000000001</v>
      </c>
      <c r="D164" s="117">
        <v>93.3</v>
      </c>
      <c r="E164" s="117"/>
      <c r="F164" s="117">
        <v>375</v>
      </c>
      <c r="G164" s="117">
        <v>675</v>
      </c>
      <c r="H164" s="123"/>
      <c r="I164" s="117" t="s">
        <v>122</v>
      </c>
      <c r="J164" s="115">
        <v>374</v>
      </c>
      <c r="K164" s="115" t="s">
        <v>23</v>
      </c>
      <c r="L164" s="117" t="s">
        <v>24</v>
      </c>
      <c r="M164" s="66">
        <v>342121</v>
      </c>
      <c r="N164" s="66">
        <v>3666</v>
      </c>
      <c r="O164" s="66">
        <v>116321</v>
      </c>
      <c r="P164" s="66">
        <v>458443</v>
      </c>
      <c r="Q164" s="67">
        <v>0.4</v>
      </c>
      <c r="R164" s="66">
        <v>183377</v>
      </c>
      <c r="S164" s="66">
        <v>641820</v>
      </c>
      <c r="T164" s="106">
        <f>IF(A164="Upgrade",IF(OR(H164=4,H164=5),_xlfn.XLOOKUP(I164,'Renewal Rates'!$A$22:$A$27,'Renewal Rates'!$B$22:$B$27,'Renewal Rates'!$B$27,0),'Renewal Rates'!$F$7),IF(A164="Renewal",100%,0%))</f>
        <v>2.6599999999999999E-2</v>
      </c>
      <c r="U164" s="68">
        <f t="shared" si="2"/>
        <v>17072.412</v>
      </c>
    </row>
    <row r="165" spans="1:21" s="41" customFormat="1" ht="13.8" x14ac:dyDescent="0.3">
      <c r="A165" s="115" t="s">
        <v>21</v>
      </c>
      <c r="B165" s="116">
        <v>2000110869</v>
      </c>
      <c r="C165" s="116">
        <v>4.0339999999999998</v>
      </c>
      <c r="D165" s="117">
        <v>39.299999999999997</v>
      </c>
      <c r="E165" s="117"/>
      <c r="F165" s="117">
        <v>300</v>
      </c>
      <c r="G165" s="117">
        <v>600</v>
      </c>
      <c r="H165" s="123"/>
      <c r="I165" s="117" t="s">
        <v>122</v>
      </c>
      <c r="J165" s="115">
        <v>374</v>
      </c>
      <c r="K165" s="115" t="s">
        <v>23</v>
      </c>
      <c r="L165" s="117" t="s">
        <v>24</v>
      </c>
      <c r="M165" s="66">
        <v>142408</v>
      </c>
      <c r="N165" s="66">
        <v>3624</v>
      </c>
      <c r="O165" s="66">
        <v>48419</v>
      </c>
      <c r="P165" s="66">
        <v>190826</v>
      </c>
      <c r="Q165" s="67">
        <v>0.4</v>
      </c>
      <c r="R165" s="66">
        <v>76331</v>
      </c>
      <c r="S165" s="66">
        <v>267157</v>
      </c>
      <c r="T165" s="106">
        <f>IF(A165="Upgrade",IF(OR(H165=4,H165=5),_xlfn.XLOOKUP(I165,'Renewal Rates'!$A$22:$A$27,'Renewal Rates'!$B$22:$B$27,'Renewal Rates'!$B$27,0),'Renewal Rates'!$F$7),IF(A165="Renewal",100%,0%))</f>
        <v>2.6599999999999999E-2</v>
      </c>
      <c r="U165" s="68">
        <f t="shared" si="2"/>
        <v>7106.3761999999997</v>
      </c>
    </row>
    <row r="166" spans="1:21" s="41" customFormat="1" ht="13.8" x14ac:dyDescent="0.3">
      <c r="A166" s="115" t="s">
        <v>25</v>
      </c>
      <c r="B166" s="116" t="s">
        <v>22</v>
      </c>
      <c r="C166" s="116">
        <v>5.0019999999999998</v>
      </c>
      <c r="D166" s="117"/>
      <c r="E166" s="117">
        <v>43.5</v>
      </c>
      <c r="F166" s="117"/>
      <c r="G166" s="117">
        <v>375</v>
      </c>
      <c r="H166" s="123"/>
      <c r="I166" s="117" t="s">
        <v>122</v>
      </c>
      <c r="J166" s="115">
        <v>385</v>
      </c>
      <c r="K166" s="115" t="s">
        <v>23</v>
      </c>
      <c r="L166" s="117" t="s">
        <v>24</v>
      </c>
      <c r="M166" s="66">
        <v>108187</v>
      </c>
      <c r="N166" s="66">
        <v>2489</v>
      </c>
      <c r="O166" s="66">
        <v>36784</v>
      </c>
      <c r="P166" s="66">
        <v>144971</v>
      </c>
      <c r="Q166" s="67">
        <v>0.4</v>
      </c>
      <c r="R166" s="66">
        <v>57988</v>
      </c>
      <c r="S166" s="66">
        <v>202959</v>
      </c>
      <c r="T166" s="106">
        <f>IF(A166="Upgrade",IF(OR(H166=4,H166=5),_xlfn.XLOOKUP(I166,'Renewal Rates'!$A$22:$A$27,'Renewal Rates'!$B$22:$B$27,'Renewal Rates'!$B$27,0),'Renewal Rates'!$F$7),IF(A166="Renewal",100%,0%))</f>
        <v>0</v>
      </c>
      <c r="U166" s="68">
        <f t="shared" si="2"/>
        <v>0</v>
      </c>
    </row>
    <row r="167" spans="1:21" s="41" customFormat="1" ht="13.8" x14ac:dyDescent="0.3">
      <c r="A167" s="115" t="s">
        <v>21</v>
      </c>
      <c r="B167" s="116">
        <v>2000009858</v>
      </c>
      <c r="C167" s="116">
        <v>5.0049999999999999</v>
      </c>
      <c r="D167" s="117">
        <v>34.9</v>
      </c>
      <c r="E167" s="117"/>
      <c r="F167" s="117">
        <v>1500</v>
      </c>
      <c r="G167" s="117">
        <v>1800</v>
      </c>
      <c r="H167" s="123">
        <v>5</v>
      </c>
      <c r="I167" s="117">
        <v>2</v>
      </c>
      <c r="J167" s="115">
        <v>378</v>
      </c>
      <c r="K167" s="115" t="s">
        <v>23</v>
      </c>
      <c r="L167" s="117" t="s">
        <v>24</v>
      </c>
      <c r="M167" s="66">
        <v>380612</v>
      </c>
      <c r="N167" s="66">
        <v>10907</v>
      </c>
      <c r="O167" s="66">
        <v>129408</v>
      </c>
      <c r="P167" s="66">
        <v>510021</v>
      </c>
      <c r="Q167" s="67">
        <v>0.4</v>
      </c>
      <c r="R167" s="66">
        <v>204008</v>
      </c>
      <c r="S167" s="66">
        <v>714029</v>
      </c>
      <c r="T167" s="106">
        <f>IF(A167="Upgrade",IF(OR(H167=4,H167=5),_xlfn.XLOOKUP(I167,'Renewal Rates'!$A$22:$A$27,'Renewal Rates'!$B$22:$B$27,'Renewal Rates'!$B$27,0),'Renewal Rates'!$F$7),IF(A167="Renewal",100%,0%))</f>
        <v>0</v>
      </c>
      <c r="U167" s="68">
        <f t="shared" si="2"/>
        <v>0</v>
      </c>
    </row>
    <row r="168" spans="1:21" s="41" customFormat="1" ht="13.8" x14ac:dyDescent="0.3">
      <c r="A168" s="115" t="s">
        <v>21</v>
      </c>
      <c r="B168" s="116">
        <v>2000475294</v>
      </c>
      <c r="C168" s="116">
        <v>5.0049999999999999</v>
      </c>
      <c r="D168" s="117">
        <v>11.5</v>
      </c>
      <c r="E168" s="117"/>
      <c r="F168" s="117">
        <v>1500</v>
      </c>
      <c r="G168" s="117">
        <v>1800</v>
      </c>
      <c r="H168" s="123">
        <v>5</v>
      </c>
      <c r="I168" s="117">
        <v>2</v>
      </c>
      <c r="J168" s="115">
        <v>378</v>
      </c>
      <c r="K168" s="115" t="s">
        <v>23</v>
      </c>
      <c r="L168" s="117" t="s">
        <v>24</v>
      </c>
      <c r="M168" s="66">
        <v>133873</v>
      </c>
      <c r="N168" s="66">
        <v>11692</v>
      </c>
      <c r="O168" s="66">
        <v>45517</v>
      </c>
      <c r="P168" s="66">
        <v>179390</v>
      </c>
      <c r="Q168" s="67">
        <v>0.4</v>
      </c>
      <c r="R168" s="66">
        <v>71756</v>
      </c>
      <c r="S168" s="66">
        <v>251146</v>
      </c>
      <c r="T168" s="106">
        <f>IF(A168="Upgrade",IF(OR(H168=4,H168=5),_xlfn.XLOOKUP(I168,'Renewal Rates'!$A$22:$A$27,'Renewal Rates'!$B$22:$B$27,'Renewal Rates'!$B$27,0),'Renewal Rates'!$F$7),IF(A168="Renewal",100%,0%))</f>
        <v>0</v>
      </c>
      <c r="U168" s="68">
        <f t="shared" si="2"/>
        <v>0</v>
      </c>
    </row>
    <row r="169" spans="1:21" s="41" customFormat="1" ht="13.8" x14ac:dyDescent="0.3">
      <c r="A169" s="115" t="s">
        <v>21</v>
      </c>
      <c r="B169" s="116">
        <v>2000850039</v>
      </c>
      <c r="C169" s="116">
        <v>5.0049999999999999</v>
      </c>
      <c r="D169" s="117">
        <v>80.900000000000006</v>
      </c>
      <c r="E169" s="117"/>
      <c r="F169" s="117">
        <v>1500</v>
      </c>
      <c r="G169" s="117">
        <v>1800</v>
      </c>
      <c r="H169" s="123">
        <v>5</v>
      </c>
      <c r="I169" s="117">
        <v>3</v>
      </c>
      <c r="J169" s="115">
        <v>378</v>
      </c>
      <c r="K169" s="115" t="s">
        <v>23</v>
      </c>
      <c r="L169" s="117" t="s">
        <v>24</v>
      </c>
      <c r="M169" s="66">
        <v>842639</v>
      </c>
      <c r="N169" s="66">
        <v>10416</v>
      </c>
      <c r="O169" s="66">
        <v>286497</v>
      </c>
      <c r="P169" s="66">
        <v>1129136</v>
      </c>
      <c r="Q169" s="67">
        <v>0.4</v>
      </c>
      <c r="R169" s="66">
        <v>451654</v>
      </c>
      <c r="S169" s="66">
        <v>1580790</v>
      </c>
      <c r="T169" s="106">
        <f>IF(A169="Upgrade",IF(OR(H169=4,H169=5),_xlfn.XLOOKUP(I169,'Renewal Rates'!$A$22:$A$27,'Renewal Rates'!$B$22:$B$27,'Renewal Rates'!$B$27,0),'Renewal Rates'!$F$7),IF(A169="Renewal",100%,0%))</f>
        <v>0.21</v>
      </c>
      <c r="U169" s="68">
        <f t="shared" si="2"/>
        <v>331965.89999999997</v>
      </c>
    </row>
    <row r="170" spans="1:21" s="41" customFormat="1" ht="13.8" x14ac:dyDescent="0.3">
      <c r="A170" s="115" t="s">
        <v>21</v>
      </c>
      <c r="B170" s="116">
        <v>2000333419</v>
      </c>
      <c r="C170" s="116">
        <v>5.0049999999999999</v>
      </c>
      <c r="D170" s="117">
        <v>85</v>
      </c>
      <c r="E170" s="117"/>
      <c r="F170" s="117">
        <v>1500</v>
      </c>
      <c r="G170" s="117">
        <v>1800</v>
      </c>
      <c r="H170" s="123">
        <v>5</v>
      </c>
      <c r="I170" s="117">
        <v>2</v>
      </c>
      <c r="J170" s="115">
        <v>378</v>
      </c>
      <c r="K170" s="115" t="s">
        <v>23</v>
      </c>
      <c r="L170" s="117" t="s">
        <v>24</v>
      </c>
      <c r="M170" s="66">
        <v>880608</v>
      </c>
      <c r="N170" s="66">
        <v>10363</v>
      </c>
      <c r="O170" s="66">
        <v>299407</v>
      </c>
      <c r="P170" s="66">
        <v>1180014</v>
      </c>
      <c r="Q170" s="67">
        <v>0.4</v>
      </c>
      <c r="R170" s="66">
        <v>472006</v>
      </c>
      <c r="S170" s="66">
        <v>1652020</v>
      </c>
      <c r="T170" s="106">
        <f>IF(A170="Upgrade",IF(OR(H170=4,H170=5),_xlfn.XLOOKUP(I170,'Renewal Rates'!$A$22:$A$27,'Renewal Rates'!$B$22:$B$27,'Renewal Rates'!$B$27,0),'Renewal Rates'!$F$7),IF(A170="Renewal",100%,0%))</f>
        <v>0</v>
      </c>
      <c r="U170" s="68">
        <f t="shared" si="2"/>
        <v>0</v>
      </c>
    </row>
    <row r="171" spans="1:21" s="41" customFormat="1" ht="13.8" x14ac:dyDescent="0.3">
      <c r="A171" s="115" t="s">
        <v>21</v>
      </c>
      <c r="B171" s="116">
        <v>2000261318</v>
      </c>
      <c r="C171" s="116">
        <v>5.0179999999999998</v>
      </c>
      <c r="D171" s="117">
        <v>128.1</v>
      </c>
      <c r="E171" s="117"/>
      <c r="F171" s="117">
        <v>1500</v>
      </c>
      <c r="G171" s="117">
        <v>1800</v>
      </c>
      <c r="H171" s="123">
        <v>5</v>
      </c>
      <c r="I171" s="117">
        <v>3</v>
      </c>
      <c r="J171" s="115">
        <v>378</v>
      </c>
      <c r="K171" s="115" t="s">
        <v>23</v>
      </c>
      <c r="L171" s="117" t="s">
        <v>24</v>
      </c>
      <c r="M171" s="66">
        <v>1309077</v>
      </c>
      <c r="N171" s="66">
        <v>10221</v>
      </c>
      <c r="O171" s="66">
        <v>445086</v>
      </c>
      <c r="P171" s="66">
        <v>1754163</v>
      </c>
      <c r="Q171" s="67">
        <v>0.4</v>
      </c>
      <c r="R171" s="66">
        <v>701665</v>
      </c>
      <c r="S171" s="66">
        <v>2455828</v>
      </c>
      <c r="T171" s="106">
        <f>IF(A171="Upgrade",IF(OR(H171=4,H171=5),_xlfn.XLOOKUP(I171,'Renewal Rates'!$A$22:$A$27,'Renewal Rates'!$B$22:$B$27,'Renewal Rates'!$B$27,0),'Renewal Rates'!$F$7),IF(A171="Renewal",100%,0%))</f>
        <v>0.21</v>
      </c>
      <c r="U171" s="68">
        <f t="shared" si="2"/>
        <v>515723.88</v>
      </c>
    </row>
    <row r="172" spans="1:21" s="41" customFormat="1" ht="13.8" x14ac:dyDescent="0.3">
      <c r="A172" s="115" t="s">
        <v>21</v>
      </c>
      <c r="B172" s="116">
        <v>2000682349</v>
      </c>
      <c r="C172" s="116">
        <v>5.0179999999999998</v>
      </c>
      <c r="D172" s="117">
        <v>79.099999999999994</v>
      </c>
      <c r="E172" s="117"/>
      <c r="F172" s="117">
        <v>1600</v>
      </c>
      <c r="G172" s="117">
        <v>1800</v>
      </c>
      <c r="H172" s="123">
        <v>5</v>
      </c>
      <c r="I172" s="117">
        <v>1</v>
      </c>
      <c r="J172" s="115">
        <v>378</v>
      </c>
      <c r="K172" s="115" t="s">
        <v>23</v>
      </c>
      <c r="L172" s="117" t="s">
        <v>24</v>
      </c>
      <c r="M172" s="66">
        <v>813159</v>
      </c>
      <c r="N172" s="66">
        <v>10282</v>
      </c>
      <c r="O172" s="66">
        <v>276474</v>
      </c>
      <c r="P172" s="66">
        <v>1089634</v>
      </c>
      <c r="Q172" s="67">
        <v>0.4</v>
      </c>
      <c r="R172" s="66">
        <v>435853</v>
      </c>
      <c r="S172" s="66">
        <v>1525487</v>
      </c>
      <c r="T172" s="106">
        <f>IF(A172="Upgrade",IF(OR(H172=4,H172=5),_xlfn.XLOOKUP(I172,'Renewal Rates'!$A$22:$A$27,'Renewal Rates'!$B$22:$B$27,'Renewal Rates'!$B$27,0),'Renewal Rates'!$F$7),IF(A172="Renewal",100%,0%))</f>
        <v>0</v>
      </c>
      <c r="U172" s="68">
        <f t="shared" si="2"/>
        <v>0</v>
      </c>
    </row>
    <row r="173" spans="1:21" s="41" customFormat="1" ht="13.8" x14ac:dyDescent="0.3">
      <c r="A173" s="115" t="s">
        <v>21</v>
      </c>
      <c r="B173" s="116">
        <v>2000174187</v>
      </c>
      <c r="C173" s="116">
        <v>5.0039999999999996</v>
      </c>
      <c r="D173" s="117">
        <v>16</v>
      </c>
      <c r="E173" s="117"/>
      <c r="F173" s="117">
        <v>900</v>
      </c>
      <c r="G173" s="117">
        <v>1800</v>
      </c>
      <c r="H173" s="123">
        <v>4</v>
      </c>
      <c r="I173" s="117">
        <v>1</v>
      </c>
      <c r="J173" s="115">
        <v>378</v>
      </c>
      <c r="K173" s="115" t="s">
        <v>23</v>
      </c>
      <c r="L173" s="117" t="s">
        <v>24</v>
      </c>
      <c r="M173" s="66">
        <v>173740</v>
      </c>
      <c r="N173" s="66">
        <v>10838</v>
      </c>
      <c r="O173" s="66">
        <v>59072</v>
      </c>
      <c r="P173" s="66">
        <v>232812</v>
      </c>
      <c r="Q173" s="67">
        <v>0.4</v>
      </c>
      <c r="R173" s="66">
        <v>93125</v>
      </c>
      <c r="S173" s="66">
        <v>325937</v>
      </c>
      <c r="T173" s="106">
        <f>IF(A173="Upgrade",IF(OR(H173=4,H173=5),_xlfn.XLOOKUP(I173,'Renewal Rates'!$A$22:$A$27,'Renewal Rates'!$B$22:$B$27,'Renewal Rates'!$B$27,0),'Renewal Rates'!$F$7),IF(A173="Renewal",100%,0%))</f>
        <v>0</v>
      </c>
      <c r="U173" s="68">
        <f t="shared" si="2"/>
        <v>0</v>
      </c>
    </row>
    <row r="174" spans="1:21" s="41" customFormat="1" ht="13.8" x14ac:dyDescent="0.3">
      <c r="A174" s="115" t="s">
        <v>21</v>
      </c>
      <c r="B174" s="116">
        <v>2000083467</v>
      </c>
      <c r="C174" s="116">
        <v>5.0039999999999996</v>
      </c>
      <c r="D174" s="117">
        <v>88.6</v>
      </c>
      <c r="E174" s="117"/>
      <c r="F174" s="117">
        <v>900</v>
      </c>
      <c r="G174" s="117">
        <v>1800</v>
      </c>
      <c r="H174" s="123">
        <v>4</v>
      </c>
      <c r="I174" s="117">
        <v>2</v>
      </c>
      <c r="J174" s="115">
        <v>378</v>
      </c>
      <c r="K174" s="115" t="s">
        <v>23</v>
      </c>
      <c r="L174" s="117" t="s">
        <v>24</v>
      </c>
      <c r="M174" s="66">
        <v>917001</v>
      </c>
      <c r="N174" s="66">
        <v>10347</v>
      </c>
      <c r="O174" s="66">
        <v>311781</v>
      </c>
      <c r="P174" s="66">
        <v>1228782</v>
      </c>
      <c r="Q174" s="67">
        <v>0.4</v>
      </c>
      <c r="R174" s="66">
        <v>491513</v>
      </c>
      <c r="S174" s="66">
        <v>1720295</v>
      </c>
      <c r="T174" s="106">
        <f>IF(A174="Upgrade",IF(OR(H174=4,H174=5),_xlfn.XLOOKUP(I174,'Renewal Rates'!$A$22:$A$27,'Renewal Rates'!$B$22:$B$27,'Renewal Rates'!$B$27,0),'Renewal Rates'!$F$7),IF(A174="Renewal",100%,0%))</f>
        <v>0</v>
      </c>
      <c r="U174" s="68">
        <f t="shared" si="2"/>
        <v>0</v>
      </c>
    </row>
    <row r="175" spans="1:21" s="41" customFormat="1" ht="13.8" x14ac:dyDescent="0.3">
      <c r="A175" s="115" t="s">
        <v>21</v>
      </c>
      <c r="B175" s="116">
        <v>2000937601</v>
      </c>
      <c r="C175" s="116">
        <v>5.0039999999999996</v>
      </c>
      <c r="D175" s="117">
        <v>32.299999999999997</v>
      </c>
      <c r="E175" s="117"/>
      <c r="F175" s="117">
        <v>900</v>
      </c>
      <c r="G175" s="117">
        <v>1800</v>
      </c>
      <c r="H175" s="123">
        <v>4</v>
      </c>
      <c r="I175" s="117">
        <v>1</v>
      </c>
      <c r="J175" s="115">
        <v>378</v>
      </c>
      <c r="K175" s="115" t="s">
        <v>23</v>
      </c>
      <c r="L175" s="117" t="s">
        <v>24</v>
      </c>
      <c r="M175" s="66">
        <v>348050</v>
      </c>
      <c r="N175" s="66">
        <v>10788</v>
      </c>
      <c r="O175" s="66">
        <v>118337</v>
      </c>
      <c r="P175" s="66">
        <v>466387</v>
      </c>
      <c r="Q175" s="67">
        <v>0.4</v>
      </c>
      <c r="R175" s="66">
        <v>186555</v>
      </c>
      <c r="S175" s="66">
        <v>652941</v>
      </c>
      <c r="T175" s="106">
        <f>IF(A175="Upgrade",IF(OR(H175=4,H175=5),_xlfn.XLOOKUP(I175,'Renewal Rates'!$A$22:$A$27,'Renewal Rates'!$B$22:$B$27,'Renewal Rates'!$B$27,0),'Renewal Rates'!$F$7),IF(A175="Renewal",100%,0%))</f>
        <v>0</v>
      </c>
      <c r="U175" s="68">
        <f t="shared" si="2"/>
        <v>0</v>
      </c>
    </row>
    <row r="176" spans="1:21" s="41" customFormat="1" ht="13.8" x14ac:dyDescent="0.3">
      <c r="A176" s="115" t="s">
        <v>21</v>
      </c>
      <c r="B176" s="116">
        <v>2000485570</v>
      </c>
      <c r="C176" s="116">
        <v>5.0039999999999996</v>
      </c>
      <c r="D176" s="117">
        <v>83.1</v>
      </c>
      <c r="E176" s="117"/>
      <c r="F176" s="117">
        <v>1500</v>
      </c>
      <c r="G176" s="117">
        <v>1800</v>
      </c>
      <c r="H176" s="123">
        <v>5</v>
      </c>
      <c r="I176" s="117">
        <v>3</v>
      </c>
      <c r="J176" s="115">
        <v>378</v>
      </c>
      <c r="K176" s="115" t="s">
        <v>23</v>
      </c>
      <c r="L176" s="117" t="s">
        <v>24</v>
      </c>
      <c r="M176" s="66">
        <v>850763</v>
      </c>
      <c r="N176" s="66">
        <v>10242</v>
      </c>
      <c r="O176" s="66">
        <v>289259</v>
      </c>
      <c r="P176" s="66">
        <v>1140022</v>
      </c>
      <c r="Q176" s="67">
        <v>0.4</v>
      </c>
      <c r="R176" s="66">
        <v>456009</v>
      </c>
      <c r="S176" s="66">
        <v>1596031</v>
      </c>
      <c r="T176" s="106">
        <f>IF(A176="Upgrade",IF(OR(H176=4,H176=5),_xlfn.XLOOKUP(I176,'Renewal Rates'!$A$22:$A$27,'Renewal Rates'!$B$22:$B$27,'Renewal Rates'!$B$27,0),'Renewal Rates'!$F$7),IF(A176="Renewal",100%,0%))</f>
        <v>0.21</v>
      </c>
      <c r="U176" s="68">
        <f t="shared" si="2"/>
        <v>335166.51</v>
      </c>
    </row>
    <row r="177" spans="1:21" s="41" customFormat="1" ht="13.8" x14ac:dyDescent="0.3">
      <c r="A177" s="115" t="s">
        <v>21</v>
      </c>
      <c r="B177" s="116">
        <v>2000542364</v>
      </c>
      <c r="C177" s="116">
        <v>5.0030000000000001</v>
      </c>
      <c r="D177" s="117">
        <v>39.5</v>
      </c>
      <c r="E177" s="117"/>
      <c r="F177" s="117">
        <v>1500</v>
      </c>
      <c r="G177" s="117">
        <v>1800</v>
      </c>
      <c r="H177" s="123">
        <v>5</v>
      </c>
      <c r="I177" s="117">
        <v>2</v>
      </c>
      <c r="J177" s="115">
        <v>378</v>
      </c>
      <c r="K177" s="115" t="s">
        <v>23</v>
      </c>
      <c r="L177" s="117" t="s">
        <v>24</v>
      </c>
      <c r="M177" s="66">
        <v>420684</v>
      </c>
      <c r="N177" s="66">
        <v>10642</v>
      </c>
      <c r="O177" s="66">
        <v>143033</v>
      </c>
      <c r="P177" s="66">
        <v>563716</v>
      </c>
      <c r="Q177" s="67">
        <v>0.4</v>
      </c>
      <c r="R177" s="66">
        <v>225487</v>
      </c>
      <c r="S177" s="66">
        <v>789203</v>
      </c>
      <c r="T177" s="106">
        <f>IF(A177="Upgrade",IF(OR(H177=4,H177=5),_xlfn.XLOOKUP(I177,'Renewal Rates'!$A$22:$A$27,'Renewal Rates'!$B$22:$B$27,'Renewal Rates'!$B$27,0),'Renewal Rates'!$F$7),IF(A177="Renewal",100%,0%))</f>
        <v>0</v>
      </c>
      <c r="U177" s="68">
        <f t="shared" si="2"/>
        <v>0</v>
      </c>
    </row>
    <row r="178" spans="1:21" s="41" customFormat="1" ht="13.8" x14ac:dyDescent="0.3">
      <c r="A178" s="115" t="s">
        <v>21</v>
      </c>
      <c r="B178" s="116">
        <v>2000591589</v>
      </c>
      <c r="C178" s="116">
        <v>5.0030000000000001</v>
      </c>
      <c r="D178" s="117">
        <v>69.2</v>
      </c>
      <c r="E178" s="117"/>
      <c r="F178" s="117">
        <v>1500</v>
      </c>
      <c r="G178" s="117">
        <v>1800</v>
      </c>
      <c r="H178" s="123">
        <v>5</v>
      </c>
      <c r="I178" s="117">
        <v>2</v>
      </c>
      <c r="J178" s="115">
        <v>378</v>
      </c>
      <c r="K178" s="115" t="s">
        <v>23</v>
      </c>
      <c r="L178" s="117" t="s">
        <v>24</v>
      </c>
      <c r="M178" s="66">
        <v>708171</v>
      </c>
      <c r="N178" s="66">
        <v>10228</v>
      </c>
      <c r="O178" s="66">
        <v>240778</v>
      </c>
      <c r="P178" s="66">
        <v>948950</v>
      </c>
      <c r="Q178" s="67">
        <v>0.4</v>
      </c>
      <c r="R178" s="66">
        <v>379580</v>
      </c>
      <c r="S178" s="66">
        <v>1328530</v>
      </c>
      <c r="T178" s="106">
        <f>IF(A178="Upgrade",IF(OR(H178=4,H178=5),_xlfn.XLOOKUP(I178,'Renewal Rates'!$A$22:$A$27,'Renewal Rates'!$B$22:$B$27,'Renewal Rates'!$B$27,0),'Renewal Rates'!$F$7),IF(A178="Renewal",100%,0%))</f>
        <v>0</v>
      </c>
      <c r="U178" s="68">
        <f t="shared" si="2"/>
        <v>0</v>
      </c>
    </row>
    <row r="179" spans="1:21" s="41" customFormat="1" ht="13.8" x14ac:dyDescent="0.3">
      <c r="A179" s="115" t="s">
        <v>21</v>
      </c>
      <c r="B179" s="116">
        <v>2000779415</v>
      </c>
      <c r="C179" s="116">
        <v>5.0030000000000001</v>
      </c>
      <c r="D179" s="117">
        <v>122.3</v>
      </c>
      <c r="E179" s="117"/>
      <c r="F179" s="117">
        <v>1350</v>
      </c>
      <c r="G179" s="117">
        <v>1800</v>
      </c>
      <c r="H179" s="123">
        <v>5</v>
      </c>
      <c r="I179" s="117">
        <v>1</v>
      </c>
      <c r="J179" s="115">
        <v>378</v>
      </c>
      <c r="K179" s="115" t="s">
        <v>23</v>
      </c>
      <c r="L179" s="117" t="s">
        <v>24</v>
      </c>
      <c r="M179" s="66">
        <v>1264790</v>
      </c>
      <c r="N179" s="66">
        <v>10340</v>
      </c>
      <c r="O179" s="66">
        <v>430029</v>
      </c>
      <c r="P179" s="66">
        <v>1694818</v>
      </c>
      <c r="Q179" s="67">
        <v>0.4</v>
      </c>
      <c r="R179" s="66">
        <v>677927</v>
      </c>
      <c r="S179" s="66">
        <v>2372746</v>
      </c>
      <c r="T179" s="106">
        <f>IF(A179="Upgrade",IF(OR(H179=4,H179=5),_xlfn.XLOOKUP(I179,'Renewal Rates'!$A$22:$A$27,'Renewal Rates'!$B$22:$B$27,'Renewal Rates'!$B$27,0),'Renewal Rates'!$F$7),IF(A179="Renewal",100%,0%))</f>
        <v>0</v>
      </c>
      <c r="U179" s="68">
        <f t="shared" si="2"/>
        <v>0</v>
      </c>
    </row>
    <row r="180" spans="1:21" s="41" customFormat="1" ht="13.8" x14ac:dyDescent="0.3">
      <c r="A180" s="115" t="s">
        <v>21</v>
      </c>
      <c r="B180" s="116">
        <v>2000084927</v>
      </c>
      <c r="C180" s="116">
        <v>5.0090000000000003</v>
      </c>
      <c r="D180" s="117">
        <v>78</v>
      </c>
      <c r="E180" s="117"/>
      <c r="F180" s="117">
        <v>750</v>
      </c>
      <c r="G180" s="117">
        <v>1125</v>
      </c>
      <c r="H180" s="123"/>
      <c r="I180" s="117" t="s">
        <v>122</v>
      </c>
      <c r="J180" s="115">
        <v>378</v>
      </c>
      <c r="K180" s="115" t="s">
        <v>23</v>
      </c>
      <c r="L180" s="117" t="s">
        <v>24</v>
      </c>
      <c r="M180" s="66">
        <v>546903</v>
      </c>
      <c r="N180" s="66">
        <v>7014</v>
      </c>
      <c r="O180" s="66">
        <v>185947</v>
      </c>
      <c r="P180" s="66">
        <v>732850</v>
      </c>
      <c r="Q180" s="67">
        <v>0.4</v>
      </c>
      <c r="R180" s="66">
        <v>293140</v>
      </c>
      <c r="S180" s="66">
        <v>1025990</v>
      </c>
      <c r="T180" s="106">
        <f>IF(A180="Upgrade",IF(OR(H180=4,H180=5),_xlfn.XLOOKUP(I180,'Renewal Rates'!$A$22:$A$27,'Renewal Rates'!$B$22:$B$27,'Renewal Rates'!$B$27,0),'Renewal Rates'!$F$7),IF(A180="Renewal",100%,0%))</f>
        <v>2.6599999999999999E-2</v>
      </c>
      <c r="U180" s="68">
        <f t="shared" si="2"/>
        <v>27291.333999999999</v>
      </c>
    </row>
    <row r="181" spans="1:21" s="41" customFormat="1" ht="13.8" x14ac:dyDescent="0.3">
      <c r="A181" s="115" t="s">
        <v>21</v>
      </c>
      <c r="B181" s="116">
        <v>2000103774</v>
      </c>
      <c r="C181" s="116">
        <v>5.0090000000000003</v>
      </c>
      <c r="D181" s="117">
        <v>108</v>
      </c>
      <c r="E181" s="117"/>
      <c r="F181" s="117">
        <v>750</v>
      </c>
      <c r="G181" s="117">
        <v>1125</v>
      </c>
      <c r="H181" s="123">
        <v>5</v>
      </c>
      <c r="I181" s="117">
        <v>2</v>
      </c>
      <c r="J181" s="115">
        <v>378</v>
      </c>
      <c r="K181" s="115" t="s">
        <v>23</v>
      </c>
      <c r="L181" s="117" t="s">
        <v>24</v>
      </c>
      <c r="M181" s="66">
        <v>763986</v>
      </c>
      <c r="N181" s="66">
        <v>7071</v>
      </c>
      <c r="O181" s="66">
        <v>259755</v>
      </c>
      <c r="P181" s="66">
        <v>1023742</v>
      </c>
      <c r="Q181" s="67">
        <v>0.4</v>
      </c>
      <c r="R181" s="66">
        <v>409497</v>
      </c>
      <c r="S181" s="66">
        <v>1433238</v>
      </c>
      <c r="T181" s="106">
        <f>IF(A181="Upgrade",IF(OR(H181=4,H181=5),_xlfn.XLOOKUP(I181,'Renewal Rates'!$A$22:$A$27,'Renewal Rates'!$B$22:$B$27,'Renewal Rates'!$B$27,0),'Renewal Rates'!$F$7),IF(A181="Renewal",100%,0%))</f>
        <v>0</v>
      </c>
      <c r="U181" s="68">
        <f t="shared" si="2"/>
        <v>0</v>
      </c>
    </row>
    <row r="182" spans="1:21" s="41" customFormat="1" ht="13.8" x14ac:dyDescent="0.3">
      <c r="A182" s="115" t="s">
        <v>21</v>
      </c>
      <c r="B182" s="116">
        <v>2000596437</v>
      </c>
      <c r="C182" s="116">
        <v>5.0069999999999997</v>
      </c>
      <c r="D182" s="117">
        <v>35.6</v>
      </c>
      <c r="E182" s="117"/>
      <c r="F182" s="117">
        <v>600</v>
      </c>
      <c r="G182" s="117">
        <v>1125</v>
      </c>
      <c r="H182" s="123"/>
      <c r="I182" s="117" t="s">
        <v>122</v>
      </c>
      <c r="J182" s="115">
        <v>378</v>
      </c>
      <c r="K182" s="115" t="s">
        <v>23</v>
      </c>
      <c r="L182" s="117" t="s">
        <v>24</v>
      </c>
      <c r="M182" s="66">
        <v>257578</v>
      </c>
      <c r="N182" s="66">
        <v>7228</v>
      </c>
      <c r="O182" s="66">
        <v>87577</v>
      </c>
      <c r="P182" s="66">
        <v>345155</v>
      </c>
      <c r="Q182" s="67">
        <v>0.4</v>
      </c>
      <c r="R182" s="66">
        <v>138062</v>
      </c>
      <c r="S182" s="66">
        <v>483217</v>
      </c>
      <c r="T182" s="106">
        <f>IF(A182="Upgrade",IF(OR(H182=4,H182=5),_xlfn.XLOOKUP(I182,'Renewal Rates'!$A$22:$A$27,'Renewal Rates'!$B$22:$B$27,'Renewal Rates'!$B$27,0),'Renewal Rates'!$F$7),IF(A182="Renewal",100%,0%))</f>
        <v>2.6599999999999999E-2</v>
      </c>
      <c r="U182" s="68">
        <f t="shared" si="2"/>
        <v>12853.572199999999</v>
      </c>
    </row>
    <row r="183" spans="1:21" s="41" customFormat="1" ht="13.8" x14ac:dyDescent="0.3">
      <c r="A183" s="115" t="s">
        <v>21</v>
      </c>
      <c r="B183" s="116">
        <v>2000014982</v>
      </c>
      <c r="C183" s="116">
        <v>5.0069999999999997</v>
      </c>
      <c r="D183" s="117">
        <v>36</v>
      </c>
      <c r="E183" s="117"/>
      <c r="F183" s="117">
        <v>300</v>
      </c>
      <c r="G183" s="117">
        <v>1125</v>
      </c>
      <c r="H183" s="123"/>
      <c r="I183" s="117" t="s">
        <v>122</v>
      </c>
      <c r="J183" s="115">
        <v>378</v>
      </c>
      <c r="K183" s="115" t="s">
        <v>23</v>
      </c>
      <c r="L183" s="117" t="s">
        <v>24</v>
      </c>
      <c r="M183" s="66">
        <v>258340</v>
      </c>
      <c r="N183" s="66">
        <v>7179</v>
      </c>
      <c r="O183" s="66">
        <v>87836</v>
      </c>
      <c r="P183" s="66">
        <v>346175</v>
      </c>
      <c r="Q183" s="67">
        <v>0.4</v>
      </c>
      <c r="R183" s="66">
        <v>138470</v>
      </c>
      <c r="S183" s="66">
        <v>484645</v>
      </c>
      <c r="T183" s="106">
        <f>IF(A183="Upgrade",IF(OR(H183=4,H183=5),_xlfn.XLOOKUP(I183,'Renewal Rates'!$A$22:$A$27,'Renewal Rates'!$B$22:$B$27,'Renewal Rates'!$B$27,0),'Renewal Rates'!$F$7),IF(A183="Renewal",100%,0%))</f>
        <v>2.6599999999999999E-2</v>
      </c>
      <c r="U183" s="68">
        <f t="shared" si="2"/>
        <v>12891.556999999999</v>
      </c>
    </row>
    <row r="184" spans="1:21" s="41" customFormat="1" ht="13.8" x14ac:dyDescent="0.3">
      <c r="A184" s="115" t="s">
        <v>21</v>
      </c>
      <c r="B184" s="116">
        <v>2000648493</v>
      </c>
      <c r="C184" s="116">
        <v>5.0069999999999997</v>
      </c>
      <c r="D184" s="117">
        <v>12.1</v>
      </c>
      <c r="E184" s="117"/>
      <c r="F184" s="117">
        <v>300</v>
      </c>
      <c r="G184" s="117">
        <v>1125</v>
      </c>
      <c r="H184" s="123"/>
      <c r="I184" s="117" t="s">
        <v>122</v>
      </c>
      <c r="J184" s="115">
        <v>378</v>
      </c>
      <c r="K184" s="115" t="s">
        <v>23</v>
      </c>
      <c r="L184" s="117" t="s">
        <v>24</v>
      </c>
      <c r="M184" s="66">
        <v>115290</v>
      </c>
      <c r="N184" s="66">
        <v>9518</v>
      </c>
      <c r="O184" s="66">
        <v>39198</v>
      </c>
      <c r="P184" s="66">
        <v>154488</v>
      </c>
      <c r="Q184" s="67">
        <v>0.4</v>
      </c>
      <c r="R184" s="66">
        <v>61795</v>
      </c>
      <c r="S184" s="66">
        <v>216283</v>
      </c>
      <c r="T184" s="106">
        <f>IF(A184="Upgrade",IF(OR(H184=4,H184=5),_xlfn.XLOOKUP(I184,'Renewal Rates'!$A$22:$A$27,'Renewal Rates'!$B$22:$B$27,'Renewal Rates'!$B$27,0),'Renewal Rates'!$F$7),IF(A184="Renewal",100%,0%))</f>
        <v>2.6599999999999999E-2</v>
      </c>
      <c r="U184" s="68">
        <f t="shared" si="2"/>
        <v>5753.1277999999993</v>
      </c>
    </row>
    <row r="185" spans="1:21" s="41" customFormat="1" ht="13.8" x14ac:dyDescent="0.3">
      <c r="A185" s="115" t="s">
        <v>21</v>
      </c>
      <c r="B185" s="116">
        <v>2000174969</v>
      </c>
      <c r="C185" s="116">
        <v>5.0060000000000002</v>
      </c>
      <c r="D185" s="117">
        <v>9.8000000000000007</v>
      </c>
      <c r="E185" s="117"/>
      <c r="F185" s="117">
        <v>300</v>
      </c>
      <c r="G185" s="117">
        <v>1050</v>
      </c>
      <c r="H185" s="123"/>
      <c r="I185" s="117" t="s">
        <v>122</v>
      </c>
      <c r="J185" s="115">
        <v>378</v>
      </c>
      <c r="K185" s="115" t="s">
        <v>23</v>
      </c>
      <c r="L185" s="117" t="s">
        <v>24</v>
      </c>
      <c r="M185" s="66">
        <v>148112</v>
      </c>
      <c r="N185" s="66">
        <v>15058</v>
      </c>
      <c r="O185" s="66">
        <v>50358</v>
      </c>
      <c r="P185" s="66">
        <v>198471</v>
      </c>
      <c r="Q185" s="67">
        <v>0.4</v>
      </c>
      <c r="R185" s="66">
        <v>79388</v>
      </c>
      <c r="S185" s="66">
        <v>277859</v>
      </c>
      <c r="T185" s="106">
        <f>IF(A185="Upgrade",IF(OR(H185=4,H185=5),_xlfn.XLOOKUP(I185,'Renewal Rates'!$A$22:$A$27,'Renewal Rates'!$B$22:$B$27,'Renewal Rates'!$B$27,0),'Renewal Rates'!$F$7),IF(A185="Renewal",100%,0%))</f>
        <v>2.6599999999999999E-2</v>
      </c>
      <c r="U185" s="68">
        <f t="shared" si="2"/>
        <v>7391.0493999999999</v>
      </c>
    </row>
    <row r="186" spans="1:21" s="41" customFormat="1" ht="13.8" x14ac:dyDescent="0.3">
      <c r="A186" s="115" t="s">
        <v>21</v>
      </c>
      <c r="B186" s="116">
        <v>2000678021</v>
      </c>
      <c r="C186" s="116">
        <v>5.0060000000000002</v>
      </c>
      <c r="D186" s="117">
        <v>15</v>
      </c>
      <c r="E186" s="117"/>
      <c r="F186" s="117">
        <v>300</v>
      </c>
      <c r="G186" s="117">
        <v>1050</v>
      </c>
      <c r="H186" s="123"/>
      <c r="I186" s="117" t="s">
        <v>122</v>
      </c>
      <c r="J186" s="115">
        <v>378</v>
      </c>
      <c r="K186" s="115" t="s">
        <v>23</v>
      </c>
      <c r="L186" s="117" t="s">
        <v>24</v>
      </c>
      <c r="M186" s="66">
        <v>142222</v>
      </c>
      <c r="N186" s="66">
        <v>9488</v>
      </c>
      <c r="O186" s="66">
        <v>48356</v>
      </c>
      <c r="P186" s="66">
        <v>190578</v>
      </c>
      <c r="Q186" s="67">
        <v>0.4</v>
      </c>
      <c r="R186" s="66">
        <v>76231</v>
      </c>
      <c r="S186" s="66">
        <v>266809</v>
      </c>
      <c r="T186" s="106">
        <f>IF(A186="Upgrade",IF(OR(H186=4,H186=5),_xlfn.XLOOKUP(I186,'Renewal Rates'!$A$22:$A$27,'Renewal Rates'!$B$22:$B$27,'Renewal Rates'!$B$27,0),'Renewal Rates'!$F$7),IF(A186="Renewal",100%,0%))</f>
        <v>2.6599999999999999E-2</v>
      </c>
      <c r="U186" s="68">
        <f t="shared" si="2"/>
        <v>7097.1193999999996</v>
      </c>
    </row>
    <row r="187" spans="1:21" s="41" customFormat="1" ht="13.8" x14ac:dyDescent="0.3">
      <c r="A187" s="115" t="s">
        <v>21</v>
      </c>
      <c r="B187" s="116">
        <v>2000097501</v>
      </c>
      <c r="C187" s="116">
        <v>5.0060000000000002</v>
      </c>
      <c r="D187" s="117">
        <v>33.299999999999997</v>
      </c>
      <c r="E187" s="117"/>
      <c r="F187" s="117">
        <v>300</v>
      </c>
      <c r="G187" s="117">
        <v>1050</v>
      </c>
      <c r="H187" s="123"/>
      <c r="I187" s="117" t="s">
        <v>122</v>
      </c>
      <c r="J187" s="115">
        <v>378</v>
      </c>
      <c r="K187" s="115" t="s">
        <v>23</v>
      </c>
      <c r="L187" s="117" t="s">
        <v>24</v>
      </c>
      <c r="M187" s="66">
        <v>224666</v>
      </c>
      <c r="N187" s="66">
        <v>6743</v>
      </c>
      <c r="O187" s="66">
        <v>76387</v>
      </c>
      <c r="P187" s="66">
        <v>301053</v>
      </c>
      <c r="Q187" s="67">
        <v>0.4</v>
      </c>
      <c r="R187" s="66">
        <v>120421</v>
      </c>
      <c r="S187" s="66">
        <v>421474</v>
      </c>
      <c r="T187" s="106">
        <f>IF(A187="Upgrade",IF(OR(H187=4,H187=5),_xlfn.XLOOKUP(I187,'Renewal Rates'!$A$22:$A$27,'Renewal Rates'!$B$22:$B$27,'Renewal Rates'!$B$27,0),'Renewal Rates'!$F$7),IF(A187="Renewal",100%,0%))</f>
        <v>2.6599999999999999E-2</v>
      </c>
      <c r="U187" s="68">
        <f t="shared" si="2"/>
        <v>11211.2084</v>
      </c>
    </row>
    <row r="188" spans="1:21" s="41" customFormat="1" ht="13.8" x14ac:dyDescent="0.3">
      <c r="A188" s="115" t="s">
        <v>21</v>
      </c>
      <c r="B188" s="116">
        <v>2000756015</v>
      </c>
      <c r="C188" s="116">
        <v>5.0060000000000002</v>
      </c>
      <c r="D188" s="117">
        <v>34.200000000000003</v>
      </c>
      <c r="E188" s="117"/>
      <c r="F188" s="117">
        <v>225</v>
      </c>
      <c r="G188" s="117">
        <v>1050</v>
      </c>
      <c r="H188" s="123"/>
      <c r="I188" s="117" t="s">
        <v>122</v>
      </c>
      <c r="J188" s="115">
        <v>378</v>
      </c>
      <c r="K188" s="115" t="s">
        <v>23</v>
      </c>
      <c r="L188" s="117" t="s">
        <v>24</v>
      </c>
      <c r="M188" s="66">
        <v>249202</v>
      </c>
      <c r="N188" s="66">
        <v>7280</v>
      </c>
      <c r="O188" s="66">
        <v>84729</v>
      </c>
      <c r="P188" s="66">
        <v>333931</v>
      </c>
      <c r="Q188" s="67">
        <v>0.4</v>
      </c>
      <c r="R188" s="66">
        <v>133572</v>
      </c>
      <c r="S188" s="66">
        <v>467503</v>
      </c>
      <c r="T188" s="106">
        <f>IF(A188="Upgrade",IF(OR(H188=4,H188=5),_xlfn.XLOOKUP(I188,'Renewal Rates'!$A$22:$A$27,'Renewal Rates'!$B$22:$B$27,'Renewal Rates'!$B$27,0),'Renewal Rates'!$F$7),IF(A188="Renewal",100%,0%))</f>
        <v>2.6599999999999999E-2</v>
      </c>
      <c r="U188" s="68">
        <f t="shared" si="2"/>
        <v>12435.5798</v>
      </c>
    </row>
    <row r="189" spans="1:21" s="41" customFormat="1" ht="13.8" x14ac:dyDescent="0.3">
      <c r="A189" s="115" t="s">
        <v>21</v>
      </c>
      <c r="B189" s="116">
        <v>2000400336</v>
      </c>
      <c r="C189" s="116">
        <v>5.0060000000000002</v>
      </c>
      <c r="D189" s="117">
        <v>44.9</v>
      </c>
      <c r="E189" s="117"/>
      <c r="F189" s="117">
        <v>225</v>
      </c>
      <c r="G189" s="117">
        <v>1050</v>
      </c>
      <c r="H189" s="123"/>
      <c r="I189" s="117" t="s">
        <v>122</v>
      </c>
      <c r="J189" s="115">
        <v>378</v>
      </c>
      <c r="K189" s="115" t="s">
        <v>23</v>
      </c>
      <c r="L189" s="117" t="s">
        <v>24</v>
      </c>
      <c r="M189" s="66">
        <v>293533</v>
      </c>
      <c r="N189" s="66">
        <v>6533</v>
      </c>
      <c r="O189" s="66">
        <v>99801</v>
      </c>
      <c r="P189" s="66">
        <v>393334</v>
      </c>
      <c r="Q189" s="67">
        <v>0.4</v>
      </c>
      <c r="R189" s="66">
        <v>157334</v>
      </c>
      <c r="S189" s="66">
        <v>550667</v>
      </c>
      <c r="T189" s="106">
        <f>IF(A189="Upgrade",IF(OR(H189=4,H189=5),_xlfn.XLOOKUP(I189,'Renewal Rates'!$A$22:$A$27,'Renewal Rates'!$B$22:$B$27,'Renewal Rates'!$B$27,0),'Renewal Rates'!$F$7),IF(A189="Renewal",100%,0%))</f>
        <v>2.6599999999999999E-2</v>
      </c>
      <c r="U189" s="68">
        <f t="shared" si="2"/>
        <v>14647.742199999999</v>
      </c>
    </row>
    <row r="190" spans="1:21" s="41" customFormat="1" ht="13.8" x14ac:dyDescent="0.3">
      <c r="A190" s="115" t="s">
        <v>21</v>
      </c>
      <c r="B190" s="116">
        <v>2000218988</v>
      </c>
      <c r="C190" s="116">
        <v>5.0060000000000002</v>
      </c>
      <c r="D190" s="117">
        <v>44.4</v>
      </c>
      <c r="E190" s="117"/>
      <c r="F190" s="117">
        <v>225</v>
      </c>
      <c r="G190" s="117">
        <v>1050</v>
      </c>
      <c r="H190" s="123"/>
      <c r="I190" s="117" t="s">
        <v>122</v>
      </c>
      <c r="J190" s="115">
        <v>378</v>
      </c>
      <c r="K190" s="115" t="s">
        <v>23</v>
      </c>
      <c r="L190" s="117" t="s">
        <v>24</v>
      </c>
      <c r="M190" s="66">
        <v>292395</v>
      </c>
      <c r="N190" s="66">
        <v>6590</v>
      </c>
      <c r="O190" s="66">
        <v>99414</v>
      </c>
      <c r="P190" s="66">
        <v>391809</v>
      </c>
      <c r="Q190" s="67">
        <v>0.4</v>
      </c>
      <c r="R190" s="66">
        <v>156724</v>
      </c>
      <c r="S190" s="66">
        <v>548533</v>
      </c>
      <c r="T190" s="106">
        <f>IF(A190="Upgrade",IF(OR(H190=4,H190=5),_xlfn.XLOOKUP(I190,'Renewal Rates'!$A$22:$A$27,'Renewal Rates'!$B$22:$B$27,'Renewal Rates'!$B$27,0),'Renewal Rates'!$F$7),IF(A190="Renewal",100%,0%))</f>
        <v>2.6599999999999999E-2</v>
      </c>
      <c r="U190" s="68">
        <f t="shared" si="2"/>
        <v>14590.977799999999</v>
      </c>
    </row>
    <row r="191" spans="1:21" s="41" customFormat="1" ht="13.8" x14ac:dyDescent="0.3">
      <c r="A191" s="115" t="s">
        <v>21</v>
      </c>
      <c r="B191" s="116">
        <v>2000115925</v>
      </c>
      <c r="C191" s="116">
        <v>5.016</v>
      </c>
      <c r="D191" s="117">
        <v>1.8</v>
      </c>
      <c r="E191" s="117"/>
      <c r="F191" s="117">
        <v>675</v>
      </c>
      <c r="G191" s="117">
        <v>825</v>
      </c>
      <c r="H191" s="123">
        <v>5</v>
      </c>
      <c r="I191" s="117"/>
      <c r="J191" s="115">
        <v>378</v>
      </c>
      <c r="K191" s="115" t="s">
        <v>23</v>
      </c>
      <c r="L191" s="117" t="s">
        <v>24</v>
      </c>
      <c r="M191" s="66">
        <v>51848</v>
      </c>
      <c r="N191" s="66">
        <v>28552</v>
      </c>
      <c r="O191" s="66">
        <v>17628</v>
      </c>
      <c r="P191" s="66">
        <v>69476</v>
      </c>
      <c r="Q191" s="67">
        <v>0.4</v>
      </c>
      <c r="R191" s="66">
        <v>27790</v>
      </c>
      <c r="S191" s="66">
        <v>97266</v>
      </c>
      <c r="T191" s="106">
        <f>IF(A191="Upgrade",IF(OR(H191=4,H191=5),_xlfn.XLOOKUP(I191,'Renewal Rates'!$A$22:$A$27,'Renewal Rates'!$B$22:$B$27,'Renewal Rates'!$B$27,0),'Renewal Rates'!$F$7),IF(A191="Renewal",100%,0%))</f>
        <v>0.116578</v>
      </c>
      <c r="U191" s="68">
        <f t="shared" si="2"/>
        <v>11339.075747999999</v>
      </c>
    </row>
    <row r="192" spans="1:21" s="41" customFormat="1" ht="13.8" x14ac:dyDescent="0.3">
      <c r="A192" s="115" t="s">
        <v>21</v>
      </c>
      <c r="B192" s="116">
        <v>2000897643</v>
      </c>
      <c r="C192" s="116">
        <v>5.016</v>
      </c>
      <c r="D192" s="117">
        <v>3.3</v>
      </c>
      <c r="E192" s="117"/>
      <c r="F192" s="117">
        <v>675</v>
      </c>
      <c r="G192" s="117">
        <v>825</v>
      </c>
      <c r="H192" s="123">
        <v>5</v>
      </c>
      <c r="I192" s="117"/>
      <c r="J192" s="115">
        <v>378</v>
      </c>
      <c r="K192" s="115" t="s">
        <v>23</v>
      </c>
      <c r="L192" s="117" t="s">
        <v>24</v>
      </c>
      <c r="M192" s="66">
        <v>54075</v>
      </c>
      <c r="N192" s="66">
        <v>16501</v>
      </c>
      <c r="O192" s="66">
        <v>18385</v>
      </c>
      <c r="P192" s="66">
        <v>72460</v>
      </c>
      <c r="Q192" s="67">
        <v>0.4</v>
      </c>
      <c r="R192" s="66">
        <v>28984</v>
      </c>
      <c r="S192" s="66">
        <v>101444</v>
      </c>
      <c r="T192" s="106">
        <f>IF(A192="Upgrade",IF(OR(H192=4,H192=5),_xlfn.XLOOKUP(I192,'Renewal Rates'!$A$22:$A$27,'Renewal Rates'!$B$22:$B$27,'Renewal Rates'!$B$27,0),'Renewal Rates'!$F$7),IF(A192="Renewal",100%,0%))</f>
        <v>0.116578</v>
      </c>
      <c r="U192" s="68">
        <f t="shared" si="2"/>
        <v>11826.138632</v>
      </c>
    </row>
    <row r="193" spans="1:21" s="41" customFormat="1" ht="13.8" x14ac:dyDescent="0.3">
      <c r="A193" s="115" t="s">
        <v>21</v>
      </c>
      <c r="B193" s="116">
        <v>2000795610</v>
      </c>
      <c r="C193" s="116">
        <v>5.016</v>
      </c>
      <c r="D193" s="117">
        <v>30.1</v>
      </c>
      <c r="E193" s="117"/>
      <c r="F193" s="117">
        <v>675</v>
      </c>
      <c r="G193" s="117">
        <v>825</v>
      </c>
      <c r="H193" s="123">
        <v>4</v>
      </c>
      <c r="I193" s="117">
        <v>1</v>
      </c>
      <c r="J193" s="115">
        <v>378</v>
      </c>
      <c r="K193" s="115" t="s">
        <v>23</v>
      </c>
      <c r="L193" s="117" t="s">
        <v>24</v>
      </c>
      <c r="M193" s="66">
        <v>153315</v>
      </c>
      <c r="N193" s="66">
        <v>5088</v>
      </c>
      <c r="O193" s="66">
        <v>52127</v>
      </c>
      <c r="P193" s="66">
        <v>205442</v>
      </c>
      <c r="Q193" s="67">
        <v>0.4</v>
      </c>
      <c r="R193" s="66">
        <v>82177</v>
      </c>
      <c r="S193" s="66">
        <v>287619</v>
      </c>
      <c r="T193" s="106">
        <f>IF(A193="Upgrade",IF(OR(H193=4,H193=5),_xlfn.XLOOKUP(I193,'Renewal Rates'!$A$22:$A$27,'Renewal Rates'!$B$22:$B$27,'Renewal Rates'!$B$27,0),'Renewal Rates'!$F$7),IF(A193="Renewal",100%,0%))</f>
        <v>0</v>
      </c>
      <c r="U193" s="68">
        <f t="shared" si="2"/>
        <v>0</v>
      </c>
    </row>
    <row r="194" spans="1:21" s="41" customFormat="1" ht="13.8" x14ac:dyDescent="0.3">
      <c r="A194" s="115" t="s">
        <v>21</v>
      </c>
      <c r="B194" s="116">
        <v>2000088083</v>
      </c>
      <c r="C194" s="116">
        <v>5.0140000000000002</v>
      </c>
      <c r="D194" s="117">
        <v>22.2</v>
      </c>
      <c r="E194" s="117"/>
      <c r="F194" s="117">
        <v>300</v>
      </c>
      <c r="G194" s="117">
        <v>525</v>
      </c>
      <c r="H194" s="123">
        <v>4</v>
      </c>
      <c r="I194" s="117"/>
      <c r="J194" s="115">
        <v>378</v>
      </c>
      <c r="K194" s="115" t="s">
        <v>23</v>
      </c>
      <c r="L194" s="117" t="s">
        <v>24</v>
      </c>
      <c r="M194" s="66">
        <v>99099</v>
      </c>
      <c r="N194" s="66">
        <v>4470</v>
      </c>
      <c r="O194" s="66">
        <v>33694</v>
      </c>
      <c r="P194" s="66">
        <v>132792</v>
      </c>
      <c r="Q194" s="67">
        <v>0.4</v>
      </c>
      <c r="R194" s="66">
        <v>53117</v>
      </c>
      <c r="S194" s="66">
        <v>185909</v>
      </c>
      <c r="T194" s="106">
        <f>IF(A194="Upgrade",IF(OR(H194=4,H194=5),_xlfn.XLOOKUP(I194,'Renewal Rates'!$A$22:$A$27,'Renewal Rates'!$B$22:$B$27,'Renewal Rates'!$B$27,0),'Renewal Rates'!$F$7),IF(A194="Renewal",100%,0%))</f>
        <v>0.116578</v>
      </c>
      <c r="U194" s="68">
        <f t="shared" si="2"/>
        <v>21672.899401999999</v>
      </c>
    </row>
    <row r="195" spans="1:21" s="41" customFormat="1" ht="13.8" x14ac:dyDescent="0.3">
      <c r="A195" s="115" t="s">
        <v>21</v>
      </c>
      <c r="B195" s="116">
        <v>2000257107</v>
      </c>
      <c r="C195" s="116">
        <v>5.0140000000000002</v>
      </c>
      <c r="D195" s="117">
        <v>19.7</v>
      </c>
      <c r="E195" s="117"/>
      <c r="F195" s="117">
        <v>300</v>
      </c>
      <c r="G195" s="117">
        <v>525</v>
      </c>
      <c r="H195" s="123"/>
      <c r="I195" s="117" t="s">
        <v>122</v>
      </c>
      <c r="J195" s="115">
        <v>378</v>
      </c>
      <c r="K195" s="115" t="s">
        <v>23</v>
      </c>
      <c r="L195" s="117" t="s">
        <v>24</v>
      </c>
      <c r="M195" s="66">
        <v>80566</v>
      </c>
      <c r="N195" s="66">
        <v>4088</v>
      </c>
      <c r="O195" s="66">
        <v>27393</v>
      </c>
      <c r="P195" s="66">
        <v>107959</v>
      </c>
      <c r="Q195" s="67">
        <v>0.4</v>
      </c>
      <c r="R195" s="66">
        <v>43184</v>
      </c>
      <c r="S195" s="66">
        <v>151143</v>
      </c>
      <c r="T195" s="106">
        <f>IF(A195="Upgrade",IF(OR(H195=4,H195=5),_xlfn.XLOOKUP(I195,'Renewal Rates'!$A$22:$A$27,'Renewal Rates'!$B$22:$B$27,'Renewal Rates'!$B$27,0),'Renewal Rates'!$F$7),IF(A195="Renewal",100%,0%))</f>
        <v>2.6599999999999999E-2</v>
      </c>
      <c r="U195" s="68">
        <f t="shared" si="2"/>
        <v>4020.4037999999996</v>
      </c>
    </row>
    <row r="196" spans="1:21" s="41" customFormat="1" ht="13.8" x14ac:dyDescent="0.3">
      <c r="A196" s="115" t="s">
        <v>21</v>
      </c>
      <c r="B196" s="116">
        <v>2000520545</v>
      </c>
      <c r="C196" s="116">
        <v>5.0149999999999997</v>
      </c>
      <c r="D196" s="117">
        <v>33.799999999999997</v>
      </c>
      <c r="E196" s="117"/>
      <c r="F196" s="117">
        <v>675</v>
      </c>
      <c r="G196" s="117">
        <v>750</v>
      </c>
      <c r="H196" s="123"/>
      <c r="I196" s="117" t="s">
        <v>122</v>
      </c>
      <c r="J196" s="115">
        <v>378</v>
      </c>
      <c r="K196" s="115" t="s">
        <v>23</v>
      </c>
      <c r="L196" s="117" t="s">
        <v>24</v>
      </c>
      <c r="M196" s="66">
        <v>153799</v>
      </c>
      <c r="N196" s="66">
        <v>4552</v>
      </c>
      <c r="O196" s="66">
        <v>52291</v>
      </c>
      <c r="P196" s="66">
        <v>206090</v>
      </c>
      <c r="Q196" s="67">
        <v>0.4</v>
      </c>
      <c r="R196" s="66">
        <v>82436</v>
      </c>
      <c r="S196" s="66">
        <v>288526</v>
      </c>
      <c r="T196" s="106">
        <f>IF(A196="Upgrade",IF(OR(H196=4,H196=5),_xlfn.XLOOKUP(I196,'Renewal Rates'!$A$22:$A$27,'Renewal Rates'!$B$22:$B$27,'Renewal Rates'!$B$27,0),'Renewal Rates'!$F$7),IF(A196="Renewal",100%,0%))</f>
        <v>2.6599999999999999E-2</v>
      </c>
      <c r="U196" s="68">
        <f t="shared" ref="U196:U259" si="3">S196*T196</f>
        <v>7674.7915999999996</v>
      </c>
    </row>
    <row r="197" spans="1:21" s="41" customFormat="1" ht="13.8" x14ac:dyDescent="0.3">
      <c r="A197" s="115" t="s">
        <v>21</v>
      </c>
      <c r="B197" s="116">
        <v>3000102718</v>
      </c>
      <c r="C197" s="116">
        <v>5.0149999999999997</v>
      </c>
      <c r="D197" s="117">
        <v>44.3</v>
      </c>
      <c r="E197" s="117"/>
      <c r="F197" s="117">
        <v>450</v>
      </c>
      <c r="G197" s="117">
        <v>750</v>
      </c>
      <c r="H197" s="123"/>
      <c r="I197" s="117" t="s">
        <v>122</v>
      </c>
      <c r="J197" s="115">
        <v>378</v>
      </c>
      <c r="K197" s="115" t="s">
        <v>23</v>
      </c>
      <c r="L197" s="117" t="s">
        <v>24</v>
      </c>
      <c r="M197" s="66">
        <v>187523</v>
      </c>
      <c r="N197" s="66">
        <v>4234</v>
      </c>
      <c r="O197" s="66">
        <v>63758</v>
      </c>
      <c r="P197" s="66">
        <v>251281</v>
      </c>
      <c r="Q197" s="67">
        <v>0.4</v>
      </c>
      <c r="R197" s="66">
        <v>100512</v>
      </c>
      <c r="S197" s="66">
        <v>351794</v>
      </c>
      <c r="T197" s="106">
        <f>IF(A197="Upgrade",IF(OR(H197=4,H197=5),_xlfn.XLOOKUP(I197,'Renewal Rates'!$A$22:$A$27,'Renewal Rates'!$B$22:$B$27,'Renewal Rates'!$B$27,0),'Renewal Rates'!$F$7),IF(A197="Renewal",100%,0%))</f>
        <v>2.6599999999999999E-2</v>
      </c>
      <c r="U197" s="68">
        <f t="shared" si="3"/>
        <v>9357.7204000000002</v>
      </c>
    </row>
    <row r="198" spans="1:21" s="41" customFormat="1" ht="13.8" x14ac:dyDescent="0.3">
      <c r="A198" s="115" t="s">
        <v>21</v>
      </c>
      <c r="B198" s="116">
        <v>2000234629</v>
      </c>
      <c r="C198" s="116">
        <v>5.0149999999999997</v>
      </c>
      <c r="D198" s="117">
        <v>27.2</v>
      </c>
      <c r="E198" s="117"/>
      <c r="F198" s="117">
        <v>450</v>
      </c>
      <c r="G198" s="117">
        <v>750</v>
      </c>
      <c r="H198" s="123"/>
      <c r="I198" s="117" t="s">
        <v>122</v>
      </c>
      <c r="J198" s="115">
        <v>378</v>
      </c>
      <c r="K198" s="115" t="s">
        <v>23</v>
      </c>
      <c r="L198" s="117" t="s">
        <v>24</v>
      </c>
      <c r="M198" s="66">
        <v>125376</v>
      </c>
      <c r="N198" s="66">
        <v>4613</v>
      </c>
      <c r="O198" s="66">
        <v>42628</v>
      </c>
      <c r="P198" s="66">
        <v>168004</v>
      </c>
      <c r="Q198" s="67">
        <v>0.4</v>
      </c>
      <c r="R198" s="66">
        <v>67202</v>
      </c>
      <c r="S198" s="66">
        <v>235206</v>
      </c>
      <c r="T198" s="106">
        <f>IF(A198="Upgrade",IF(OR(H198=4,H198=5),_xlfn.XLOOKUP(I198,'Renewal Rates'!$A$22:$A$27,'Renewal Rates'!$B$22:$B$27,'Renewal Rates'!$B$27,0),'Renewal Rates'!$F$7),IF(A198="Renewal",100%,0%))</f>
        <v>2.6599999999999999E-2</v>
      </c>
      <c r="U198" s="68">
        <f t="shared" si="3"/>
        <v>6256.4795999999997</v>
      </c>
    </row>
    <row r="199" spans="1:21" s="41" customFormat="1" ht="13.8" x14ac:dyDescent="0.3">
      <c r="A199" s="115" t="s">
        <v>21</v>
      </c>
      <c r="B199" s="116">
        <v>2000627710</v>
      </c>
      <c r="C199" s="116">
        <v>5.0170000000000003</v>
      </c>
      <c r="D199" s="117">
        <v>51.8</v>
      </c>
      <c r="E199" s="117"/>
      <c r="F199" s="117">
        <v>600</v>
      </c>
      <c r="G199" s="117">
        <v>450</v>
      </c>
      <c r="H199" s="123"/>
      <c r="I199" s="117" t="s">
        <v>122</v>
      </c>
      <c r="J199" s="115">
        <v>378</v>
      </c>
      <c r="K199" s="115" t="s">
        <v>23</v>
      </c>
      <c r="L199" s="117" t="s">
        <v>24</v>
      </c>
      <c r="M199" s="66">
        <v>158927</v>
      </c>
      <c r="N199" s="66">
        <v>3071</v>
      </c>
      <c r="O199" s="66">
        <v>54035</v>
      </c>
      <c r="P199" s="66">
        <v>212962</v>
      </c>
      <c r="Q199" s="67">
        <v>0.4</v>
      </c>
      <c r="R199" s="66">
        <v>85185</v>
      </c>
      <c r="S199" s="66">
        <v>298147</v>
      </c>
      <c r="T199" s="106">
        <f>IF(A199="Upgrade",IF(OR(H199=4,H199=5),_xlfn.XLOOKUP(I199,'Renewal Rates'!$A$22:$A$27,'Renewal Rates'!$B$22:$B$27,'Renewal Rates'!$B$27,0),'Renewal Rates'!$F$7),IF(A199="Renewal",100%,0%))</f>
        <v>2.6599999999999999E-2</v>
      </c>
      <c r="U199" s="68">
        <f t="shared" si="3"/>
        <v>7930.7101999999995</v>
      </c>
    </row>
    <row r="200" spans="1:21" s="41" customFormat="1" ht="13.8" x14ac:dyDescent="0.3">
      <c r="A200" s="115" t="s">
        <v>21</v>
      </c>
      <c r="B200" s="116">
        <v>2000584400</v>
      </c>
      <c r="C200" s="116">
        <v>5.0170000000000003</v>
      </c>
      <c r="D200" s="117">
        <v>90.4</v>
      </c>
      <c r="E200" s="117"/>
      <c r="F200" s="117">
        <v>450</v>
      </c>
      <c r="G200" s="117">
        <v>450</v>
      </c>
      <c r="H200" s="123"/>
      <c r="I200" s="117" t="s">
        <v>122</v>
      </c>
      <c r="J200" s="115">
        <v>378</v>
      </c>
      <c r="K200" s="115" t="s">
        <v>23</v>
      </c>
      <c r="L200" s="117" t="s">
        <v>24</v>
      </c>
      <c r="M200" s="66">
        <v>244809</v>
      </c>
      <c r="N200" s="66">
        <v>2707</v>
      </c>
      <c r="O200" s="66">
        <v>83235</v>
      </c>
      <c r="P200" s="66">
        <v>328045</v>
      </c>
      <c r="Q200" s="67">
        <v>0.4</v>
      </c>
      <c r="R200" s="66">
        <v>131218</v>
      </c>
      <c r="S200" s="66">
        <v>459262</v>
      </c>
      <c r="T200" s="106">
        <f>IF(A200="Upgrade",IF(OR(H200=4,H200=5),_xlfn.XLOOKUP(I200,'Renewal Rates'!$A$22:$A$27,'Renewal Rates'!$B$22:$B$27,'Renewal Rates'!$B$27,0),'Renewal Rates'!$F$7),IF(A200="Renewal",100%,0%))</f>
        <v>2.6599999999999999E-2</v>
      </c>
      <c r="U200" s="68">
        <f t="shared" si="3"/>
        <v>12216.369199999999</v>
      </c>
    </row>
    <row r="201" spans="1:21" s="41" customFormat="1" ht="13.8" x14ac:dyDescent="0.3">
      <c r="A201" s="115" t="s">
        <v>21</v>
      </c>
      <c r="B201" s="116">
        <v>2000489705</v>
      </c>
      <c r="C201" s="116">
        <v>5.008</v>
      </c>
      <c r="D201" s="117">
        <v>22.9</v>
      </c>
      <c r="E201" s="117"/>
      <c r="F201" s="117">
        <v>375</v>
      </c>
      <c r="G201" s="117">
        <v>600</v>
      </c>
      <c r="H201" s="123"/>
      <c r="I201" s="117" t="s">
        <v>122</v>
      </c>
      <c r="J201" s="115">
        <v>378</v>
      </c>
      <c r="K201" s="115" t="s">
        <v>23</v>
      </c>
      <c r="L201" s="117" t="s">
        <v>24</v>
      </c>
      <c r="M201" s="66">
        <v>86591</v>
      </c>
      <c r="N201" s="66">
        <v>3780</v>
      </c>
      <c r="O201" s="66">
        <v>29441</v>
      </c>
      <c r="P201" s="66">
        <v>116032</v>
      </c>
      <c r="Q201" s="67">
        <v>0.4</v>
      </c>
      <c r="R201" s="66">
        <v>46413</v>
      </c>
      <c r="S201" s="66">
        <v>162445</v>
      </c>
      <c r="T201" s="106">
        <f>IF(A201="Upgrade",IF(OR(H201=4,H201=5),_xlfn.XLOOKUP(I201,'Renewal Rates'!$A$22:$A$27,'Renewal Rates'!$B$22:$B$27,'Renewal Rates'!$B$27,0),'Renewal Rates'!$F$7),IF(A201="Renewal",100%,0%))</f>
        <v>2.6599999999999999E-2</v>
      </c>
      <c r="U201" s="68">
        <f t="shared" si="3"/>
        <v>4321.0369999999994</v>
      </c>
    </row>
    <row r="202" spans="1:21" s="41" customFormat="1" ht="13.8" x14ac:dyDescent="0.3">
      <c r="A202" s="115" t="s">
        <v>21</v>
      </c>
      <c r="B202" s="116">
        <v>2000811526</v>
      </c>
      <c r="C202" s="116">
        <v>5.008</v>
      </c>
      <c r="D202" s="117">
        <v>11.7</v>
      </c>
      <c r="E202" s="117"/>
      <c r="F202" s="117">
        <v>375</v>
      </c>
      <c r="G202" s="117">
        <v>600</v>
      </c>
      <c r="H202" s="123"/>
      <c r="I202" s="117" t="s">
        <v>122</v>
      </c>
      <c r="J202" s="115">
        <v>378</v>
      </c>
      <c r="K202" s="115" t="s">
        <v>23</v>
      </c>
      <c r="L202" s="117" t="s">
        <v>24</v>
      </c>
      <c r="M202" s="66">
        <v>75002</v>
      </c>
      <c r="N202" s="66">
        <v>6408</v>
      </c>
      <c r="O202" s="66">
        <v>25501</v>
      </c>
      <c r="P202" s="66">
        <v>100503</v>
      </c>
      <c r="Q202" s="67">
        <v>0.4</v>
      </c>
      <c r="R202" s="66">
        <v>40201</v>
      </c>
      <c r="S202" s="66">
        <v>140704</v>
      </c>
      <c r="T202" s="106">
        <f>IF(A202="Upgrade",IF(OR(H202=4,H202=5),_xlfn.XLOOKUP(I202,'Renewal Rates'!$A$22:$A$27,'Renewal Rates'!$B$22:$B$27,'Renewal Rates'!$B$27,0),'Renewal Rates'!$F$7),IF(A202="Renewal",100%,0%))</f>
        <v>2.6599999999999999E-2</v>
      </c>
      <c r="U202" s="68">
        <f t="shared" si="3"/>
        <v>3742.7264</v>
      </c>
    </row>
    <row r="203" spans="1:21" s="41" customFormat="1" ht="13.8" x14ac:dyDescent="0.3">
      <c r="A203" s="115" t="s">
        <v>21</v>
      </c>
      <c r="B203" s="116">
        <v>2000445095</v>
      </c>
      <c r="C203" s="116">
        <v>5.008</v>
      </c>
      <c r="D203" s="117">
        <v>29.2</v>
      </c>
      <c r="E203" s="117"/>
      <c r="F203" s="117">
        <v>375</v>
      </c>
      <c r="G203" s="117">
        <v>600</v>
      </c>
      <c r="H203" s="123"/>
      <c r="I203" s="117" t="s">
        <v>122</v>
      </c>
      <c r="J203" s="115">
        <v>378</v>
      </c>
      <c r="K203" s="115" t="s">
        <v>23</v>
      </c>
      <c r="L203" s="117" t="s">
        <v>24</v>
      </c>
      <c r="M203" s="66">
        <v>128944</v>
      </c>
      <c r="N203" s="66">
        <v>4411</v>
      </c>
      <c r="O203" s="66">
        <v>43841</v>
      </c>
      <c r="P203" s="66">
        <v>172785</v>
      </c>
      <c r="Q203" s="67">
        <v>0.4</v>
      </c>
      <c r="R203" s="66">
        <v>69114</v>
      </c>
      <c r="S203" s="66">
        <v>241899</v>
      </c>
      <c r="T203" s="106">
        <f>IF(A203="Upgrade",IF(OR(H203=4,H203=5),_xlfn.XLOOKUP(I203,'Renewal Rates'!$A$22:$A$27,'Renewal Rates'!$B$22:$B$27,'Renewal Rates'!$B$27,0),'Renewal Rates'!$F$7),IF(A203="Renewal",100%,0%))</f>
        <v>2.6599999999999999E-2</v>
      </c>
      <c r="U203" s="68">
        <f t="shared" si="3"/>
        <v>6434.5133999999998</v>
      </c>
    </row>
    <row r="204" spans="1:21" s="41" customFormat="1" ht="13.8" x14ac:dyDescent="0.3">
      <c r="A204" s="115" t="s">
        <v>21</v>
      </c>
      <c r="B204" s="116">
        <v>2000680358</v>
      </c>
      <c r="C204" s="116">
        <v>5.008</v>
      </c>
      <c r="D204" s="117">
        <v>26.2</v>
      </c>
      <c r="E204" s="117"/>
      <c r="F204" s="117">
        <v>375</v>
      </c>
      <c r="G204" s="117">
        <v>600</v>
      </c>
      <c r="H204" s="123"/>
      <c r="I204" s="117" t="s">
        <v>122</v>
      </c>
      <c r="J204" s="115">
        <v>378</v>
      </c>
      <c r="K204" s="115" t="s">
        <v>23</v>
      </c>
      <c r="L204" s="117" t="s">
        <v>24</v>
      </c>
      <c r="M204" s="66">
        <v>109413</v>
      </c>
      <c r="N204" s="66">
        <v>4179</v>
      </c>
      <c r="O204" s="66">
        <v>37200</v>
      </c>
      <c r="P204" s="66">
        <v>146613</v>
      </c>
      <c r="Q204" s="67">
        <v>0.4</v>
      </c>
      <c r="R204" s="66">
        <v>58645</v>
      </c>
      <c r="S204" s="66">
        <v>205258</v>
      </c>
      <c r="T204" s="106">
        <f>IF(A204="Upgrade",IF(OR(H204=4,H204=5),_xlfn.XLOOKUP(I204,'Renewal Rates'!$A$22:$A$27,'Renewal Rates'!$B$22:$B$27,'Renewal Rates'!$B$27,0),'Renewal Rates'!$F$7),IF(A204="Renewal",100%,0%))</f>
        <v>2.6599999999999999E-2</v>
      </c>
      <c r="U204" s="68">
        <f t="shared" si="3"/>
        <v>5459.8627999999999</v>
      </c>
    </row>
    <row r="205" spans="1:21" s="41" customFormat="1" ht="13.8" x14ac:dyDescent="0.3">
      <c r="A205" s="115" t="s">
        <v>21</v>
      </c>
      <c r="B205" s="116">
        <v>2000704675</v>
      </c>
      <c r="C205" s="116">
        <v>5.008</v>
      </c>
      <c r="D205" s="117">
        <v>29.8</v>
      </c>
      <c r="E205" s="117"/>
      <c r="F205" s="117">
        <v>375</v>
      </c>
      <c r="G205" s="117">
        <v>600</v>
      </c>
      <c r="H205" s="123"/>
      <c r="I205" s="117" t="s">
        <v>122</v>
      </c>
      <c r="J205" s="115">
        <v>378</v>
      </c>
      <c r="K205" s="115" t="s">
        <v>23</v>
      </c>
      <c r="L205" s="117" t="s">
        <v>24</v>
      </c>
      <c r="M205" s="66">
        <v>113176</v>
      </c>
      <c r="N205" s="66">
        <v>3795</v>
      </c>
      <c r="O205" s="66">
        <v>38480</v>
      </c>
      <c r="P205" s="66">
        <v>151656</v>
      </c>
      <c r="Q205" s="67">
        <v>0.4</v>
      </c>
      <c r="R205" s="66">
        <v>60662</v>
      </c>
      <c r="S205" s="66">
        <v>212318</v>
      </c>
      <c r="T205" s="106">
        <f>IF(A205="Upgrade",IF(OR(H205=4,H205=5),_xlfn.XLOOKUP(I205,'Renewal Rates'!$A$22:$A$27,'Renewal Rates'!$B$22:$B$27,'Renewal Rates'!$B$27,0),'Renewal Rates'!$F$7),IF(A205="Renewal",100%,0%))</f>
        <v>2.6599999999999999E-2</v>
      </c>
      <c r="U205" s="68">
        <f t="shared" si="3"/>
        <v>5647.6588000000002</v>
      </c>
    </row>
    <row r="206" spans="1:21" s="41" customFormat="1" ht="13.8" x14ac:dyDescent="0.3">
      <c r="A206" s="115" t="s">
        <v>21</v>
      </c>
      <c r="B206" s="116">
        <v>2000300414</v>
      </c>
      <c r="C206" s="116">
        <v>5.008</v>
      </c>
      <c r="D206" s="117">
        <v>24.9</v>
      </c>
      <c r="E206" s="117"/>
      <c r="F206" s="117">
        <v>300</v>
      </c>
      <c r="G206" s="117">
        <v>600</v>
      </c>
      <c r="H206" s="123"/>
      <c r="I206" s="117" t="s">
        <v>122</v>
      </c>
      <c r="J206" s="115">
        <v>378</v>
      </c>
      <c r="K206" s="115" t="s">
        <v>23</v>
      </c>
      <c r="L206" s="117" t="s">
        <v>24</v>
      </c>
      <c r="M206" s="66">
        <v>108117</v>
      </c>
      <c r="N206" s="66">
        <v>4337</v>
      </c>
      <c r="O206" s="66">
        <v>36760</v>
      </c>
      <c r="P206" s="66">
        <v>144877</v>
      </c>
      <c r="Q206" s="67">
        <v>0.4</v>
      </c>
      <c r="R206" s="66">
        <v>57951</v>
      </c>
      <c r="S206" s="66">
        <v>202828</v>
      </c>
      <c r="T206" s="106">
        <f>IF(A206="Upgrade",IF(OR(H206=4,H206=5),_xlfn.XLOOKUP(I206,'Renewal Rates'!$A$22:$A$27,'Renewal Rates'!$B$22:$B$27,'Renewal Rates'!$B$27,0),'Renewal Rates'!$F$7),IF(A206="Renewal",100%,0%))</f>
        <v>2.6599999999999999E-2</v>
      </c>
      <c r="U206" s="68">
        <f t="shared" si="3"/>
        <v>5395.2248</v>
      </c>
    </row>
    <row r="207" spans="1:21" s="41" customFormat="1" ht="13.8" x14ac:dyDescent="0.3">
      <c r="A207" s="115" t="s">
        <v>25</v>
      </c>
      <c r="B207" s="116" t="s">
        <v>22</v>
      </c>
      <c r="C207" s="116">
        <v>5.0010000000000003</v>
      </c>
      <c r="D207" s="117"/>
      <c r="E207" s="117">
        <v>259.89999999999998</v>
      </c>
      <c r="F207" s="117"/>
      <c r="G207" s="117">
        <v>900</v>
      </c>
      <c r="H207" s="123"/>
      <c r="I207" s="117" t="s">
        <v>122</v>
      </c>
      <c r="J207" s="115">
        <v>385</v>
      </c>
      <c r="K207" s="115" t="s">
        <v>23</v>
      </c>
      <c r="L207" s="117" t="s">
        <v>24</v>
      </c>
      <c r="M207" s="66">
        <v>1358003</v>
      </c>
      <c r="N207" s="66">
        <v>5226</v>
      </c>
      <c r="O207" s="66">
        <v>461721</v>
      </c>
      <c r="P207" s="66">
        <v>1819724</v>
      </c>
      <c r="Q207" s="67">
        <v>0.4</v>
      </c>
      <c r="R207" s="66">
        <v>727890</v>
      </c>
      <c r="S207" s="66">
        <v>2547614</v>
      </c>
      <c r="T207" s="106">
        <f>IF(A207="Upgrade",IF(OR(H207=4,H207=5),_xlfn.XLOOKUP(I207,'Renewal Rates'!$A$22:$A$27,'Renewal Rates'!$B$22:$B$27,'Renewal Rates'!$B$27,0),'Renewal Rates'!$F$7),IF(A207="Renewal",100%,0%))</f>
        <v>0</v>
      </c>
      <c r="U207" s="68">
        <f t="shared" si="3"/>
        <v>0</v>
      </c>
    </row>
    <row r="208" spans="1:21" s="41" customFormat="1" ht="13.8" x14ac:dyDescent="0.3">
      <c r="A208" s="115" t="s">
        <v>21</v>
      </c>
      <c r="B208" s="116">
        <v>2000069890</v>
      </c>
      <c r="C208" s="116">
        <v>5.0119999999999996</v>
      </c>
      <c r="D208" s="117">
        <v>17.399999999999999</v>
      </c>
      <c r="E208" s="117"/>
      <c r="F208" s="117">
        <v>450</v>
      </c>
      <c r="G208" s="117">
        <v>900</v>
      </c>
      <c r="H208" s="123"/>
      <c r="I208" s="117" t="s">
        <v>122</v>
      </c>
      <c r="J208" s="115">
        <v>378</v>
      </c>
      <c r="K208" s="115" t="s">
        <v>23</v>
      </c>
      <c r="L208" s="117" t="s">
        <v>24</v>
      </c>
      <c r="M208" s="66">
        <v>126564</v>
      </c>
      <c r="N208" s="66">
        <v>7290</v>
      </c>
      <c r="O208" s="66">
        <v>43032</v>
      </c>
      <c r="P208" s="66">
        <v>169595</v>
      </c>
      <c r="Q208" s="67">
        <v>0.4</v>
      </c>
      <c r="R208" s="66">
        <v>67838</v>
      </c>
      <c r="S208" s="66">
        <v>237434</v>
      </c>
      <c r="T208" s="106">
        <f>IF(A208="Upgrade",IF(OR(H208=4,H208=5),_xlfn.XLOOKUP(I208,'Renewal Rates'!$A$22:$A$27,'Renewal Rates'!$B$22:$B$27,'Renewal Rates'!$B$27,0),'Renewal Rates'!$F$7),IF(A208="Renewal",100%,0%))</f>
        <v>2.6599999999999999E-2</v>
      </c>
      <c r="U208" s="68">
        <f t="shared" si="3"/>
        <v>6315.7443999999996</v>
      </c>
    </row>
    <row r="209" spans="1:21" s="41" customFormat="1" ht="13.8" x14ac:dyDescent="0.3">
      <c r="A209" s="115" t="s">
        <v>21</v>
      </c>
      <c r="B209" s="116">
        <v>2000370291</v>
      </c>
      <c r="C209" s="116">
        <v>5.0110000000000001</v>
      </c>
      <c r="D209" s="117">
        <v>13.9</v>
      </c>
      <c r="E209" s="117"/>
      <c r="F209" s="117">
        <v>675</v>
      </c>
      <c r="G209" s="117">
        <v>675</v>
      </c>
      <c r="H209" s="123"/>
      <c r="I209" s="117" t="s">
        <v>122</v>
      </c>
      <c r="J209" s="115">
        <v>378</v>
      </c>
      <c r="K209" s="115" t="s">
        <v>23</v>
      </c>
      <c r="L209" s="117" t="s">
        <v>24</v>
      </c>
      <c r="M209" s="66">
        <v>86138</v>
      </c>
      <c r="N209" s="66">
        <v>6176</v>
      </c>
      <c r="O209" s="66">
        <v>29287</v>
      </c>
      <c r="P209" s="66">
        <v>115425</v>
      </c>
      <c r="Q209" s="67">
        <v>0.4</v>
      </c>
      <c r="R209" s="66">
        <v>46170</v>
      </c>
      <c r="S209" s="66">
        <v>161595</v>
      </c>
      <c r="T209" s="106">
        <f>IF(A209="Upgrade",IF(OR(H209=4,H209=5),_xlfn.XLOOKUP(I209,'Renewal Rates'!$A$22:$A$27,'Renewal Rates'!$B$22:$B$27,'Renewal Rates'!$B$27,0),'Renewal Rates'!$F$7),IF(A209="Renewal",100%,0%))</f>
        <v>2.6599999999999999E-2</v>
      </c>
      <c r="U209" s="68">
        <f t="shared" si="3"/>
        <v>4298.4269999999997</v>
      </c>
    </row>
    <row r="210" spans="1:21" s="41" customFormat="1" ht="13.8" x14ac:dyDescent="0.3">
      <c r="A210" s="115" t="s">
        <v>21</v>
      </c>
      <c r="B210" s="116">
        <v>2000143567</v>
      </c>
      <c r="C210" s="116">
        <v>5.0110000000000001</v>
      </c>
      <c r="D210" s="117">
        <v>10.7</v>
      </c>
      <c r="E210" s="117"/>
      <c r="F210" s="117">
        <v>525</v>
      </c>
      <c r="G210" s="117">
        <v>675</v>
      </c>
      <c r="H210" s="123"/>
      <c r="I210" s="117" t="s">
        <v>122</v>
      </c>
      <c r="J210" s="115">
        <v>378</v>
      </c>
      <c r="K210" s="115" t="s">
        <v>23</v>
      </c>
      <c r="L210" s="117" t="s">
        <v>24</v>
      </c>
      <c r="M210" s="66">
        <v>82207</v>
      </c>
      <c r="N210" s="66">
        <v>7710</v>
      </c>
      <c r="O210" s="66">
        <v>27951</v>
      </c>
      <c r="P210" s="66">
        <v>110158</v>
      </c>
      <c r="Q210" s="67">
        <v>0.4</v>
      </c>
      <c r="R210" s="66">
        <v>44063</v>
      </c>
      <c r="S210" s="66">
        <v>154221</v>
      </c>
      <c r="T210" s="106">
        <f>IF(A210="Upgrade",IF(OR(H210=4,H210=5),_xlfn.XLOOKUP(I210,'Renewal Rates'!$A$22:$A$27,'Renewal Rates'!$B$22:$B$27,'Renewal Rates'!$B$27,0),'Renewal Rates'!$F$7),IF(A210="Renewal",100%,0%))</f>
        <v>2.6599999999999999E-2</v>
      </c>
      <c r="U210" s="68">
        <f t="shared" si="3"/>
        <v>4102.2785999999996</v>
      </c>
    </row>
    <row r="211" spans="1:21" s="41" customFormat="1" ht="13.8" x14ac:dyDescent="0.3">
      <c r="A211" s="115" t="s">
        <v>21</v>
      </c>
      <c r="B211" s="116">
        <v>2000428332</v>
      </c>
      <c r="C211" s="116">
        <v>5.0110000000000001</v>
      </c>
      <c r="D211" s="117">
        <v>51.2</v>
      </c>
      <c r="E211" s="117"/>
      <c r="F211" s="117">
        <v>525</v>
      </c>
      <c r="G211" s="117">
        <v>675</v>
      </c>
      <c r="H211" s="123"/>
      <c r="I211" s="117" t="s">
        <v>122</v>
      </c>
      <c r="J211" s="115">
        <v>378</v>
      </c>
      <c r="K211" s="115" t="s">
        <v>23</v>
      </c>
      <c r="L211" s="117" t="s">
        <v>24</v>
      </c>
      <c r="M211" s="66">
        <v>213964</v>
      </c>
      <c r="N211" s="66">
        <v>4180</v>
      </c>
      <c r="O211" s="66">
        <v>72748</v>
      </c>
      <c r="P211" s="66">
        <v>286711</v>
      </c>
      <c r="Q211" s="67">
        <v>0.4</v>
      </c>
      <c r="R211" s="66">
        <v>114685</v>
      </c>
      <c r="S211" s="66">
        <v>401396</v>
      </c>
      <c r="T211" s="106">
        <f>IF(A211="Upgrade",IF(OR(H211=4,H211=5),_xlfn.XLOOKUP(I211,'Renewal Rates'!$A$22:$A$27,'Renewal Rates'!$B$22:$B$27,'Renewal Rates'!$B$27,0),'Renewal Rates'!$F$7),IF(A211="Renewal",100%,0%))</f>
        <v>2.6599999999999999E-2</v>
      </c>
      <c r="U211" s="68">
        <f t="shared" si="3"/>
        <v>10677.133599999999</v>
      </c>
    </row>
    <row r="212" spans="1:21" s="41" customFormat="1" ht="13.8" x14ac:dyDescent="0.3">
      <c r="A212" s="115" t="s">
        <v>21</v>
      </c>
      <c r="B212" s="116">
        <v>2000391485</v>
      </c>
      <c r="C212" s="116">
        <v>5.0110000000000001</v>
      </c>
      <c r="D212" s="117">
        <v>41.3</v>
      </c>
      <c r="E212" s="117"/>
      <c r="F212" s="117">
        <v>525</v>
      </c>
      <c r="G212" s="117">
        <v>675</v>
      </c>
      <c r="H212" s="123"/>
      <c r="I212" s="117" t="s">
        <v>122</v>
      </c>
      <c r="J212" s="115">
        <v>378</v>
      </c>
      <c r="K212" s="115" t="s">
        <v>23</v>
      </c>
      <c r="L212" s="117" t="s">
        <v>24</v>
      </c>
      <c r="M212" s="66">
        <v>157781</v>
      </c>
      <c r="N212" s="66">
        <v>3817</v>
      </c>
      <c r="O212" s="66">
        <v>53646</v>
      </c>
      <c r="P212" s="66">
        <v>211427</v>
      </c>
      <c r="Q212" s="67">
        <v>0.4</v>
      </c>
      <c r="R212" s="66">
        <v>84571</v>
      </c>
      <c r="S212" s="66">
        <v>295997</v>
      </c>
      <c r="T212" s="106">
        <f>IF(A212="Upgrade",IF(OR(H212=4,H212=5),_xlfn.XLOOKUP(I212,'Renewal Rates'!$A$22:$A$27,'Renewal Rates'!$B$22:$B$27,'Renewal Rates'!$B$27,0),'Renewal Rates'!$F$7),IF(A212="Renewal",100%,0%))</f>
        <v>2.6599999999999999E-2</v>
      </c>
      <c r="U212" s="68">
        <f t="shared" si="3"/>
        <v>7873.5201999999999</v>
      </c>
    </row>
    <row r="213" spans="1:21" s="41" customFormat="1" ht="13.8" x14ac:dyDescent="0.3">
      <c r="A213" s="115" t="s">
        <v>21</v>
      </c>
      <c r="B213" s="116">
        <v>2000879383</v>
      </c>
      <c r="C213" s="116">
        <v>5.01</v>
      </c>
      <c r="D213" s="117">
        <v>30</v>
      </c>
      <c r="E213" s="117"/>
      <c r="F213" s="117">
        <v>525</v>
      </c>
      <c r="G213" s="117">
        <v>825</v>
      </c>
      <c r="H213" s="123"/>
      <c r="I213" s="117" t="s">
        <v>122</v>
      </c>
      <c r="J213" s="115">
        <v>378</v>
      </c>
      <c r="K213" s="115" t="s">
        <v>23</v>
      </c>
      <c r="L213" s="117" t="s">
        <v>24</v>
      </c>
      <c r="M213" s="66">
        <v>153039</v>
      </c>
      <c r="N213" s="66">
        <v>5109</v>
      </c>
      <c r="O213" s="66">
        <v>52033</v>
      </c>
      <c r="P213" s="66">
        <v>205072</v>
      </c>
      <c r="Q213" s="67">
        <v>0.4</v>
      </c>
      <c r="R213" s="66">
        <v>82029</v>
      </c>
      <c r="S213" s="66">
        <v>287101</v>
      </c>
      <c r="T213" s="106">
        <f>IF(A213="Upgrade",IF(OR(H213=4,H213=5),_xlfn.XLOOKUP(I213,'Renewal Rates'!$A$22:$A$27,'Renewal Rates'!$B$22:$B$27,'Renewal Rates'!$B$27,0),'Renewal Rates'!$F$7),IF(A213="Renewal",100%,0%))</f>
        <v>2.6599999999999999E-2</v>
      </c>
      <c r="U213" s="68">
        <f t="shared" si="3"/>
        <v>7636.8865999999998</v>
      </c>
    </row>
    <row r="214" spans="1:21" s="41" customFormat="1" ht="13.8" x14ac:dyDescent="0.3">
      <c r="A214" s="115" t="s">
        <v>21</v>
      </c>
      <c r="B214" s="116">
        <v>2000315320</v>
      </c>
      <c r="C214" s="116">
        <v>5.01</v>
      </c>
      <c r="D214" s="117">
        <v>18.3</v>
      </c>
      <c r="E214" s="117"/>
      <c r="F214" s="117">
        <v>225</v>
      </c>
      <c r="G214" s="117">
        <v>825</v>
      </c>
      <c r="H214" s="123"/>
      <c r="I214" s="117" t="s">
        <v>122</v>
      </c>
      <c r="J214" s="115">
        <v>378</v>
      </c>
      <c r="K214" s="115" t="s">
        <v>23</v>
      </c>
      <c r="L214" s="117" t="s">
        <v>24</v>
      </c>
      <c r="M214" s="66">
        <v>115852</v>
      </c>
      <c r="N214" s="66">
        <v>6329</v>
      </c>
      <c r="O214" s="66">
        <v>39390</v>
      </c>
      <c r="P214" s="66">
        <v>155241</v>
      </c>
      <c r="Q214" s="67">
        <v>0.4</v>
      </c>
      <c r="R214" s="66">
        <v>62097</v>
      </c>
      <c r="S214" s="66">
        <v>217338</v>
      </c>
      <c r="T214" s="106">
        <f>IF(A214="Upgrade",IF(OR(H214=4,H214=5),_xlfn.XLOOKUP(I214,'Renewal Rates'!$A$22:$A$27,'Renewal Rates'!$B$22:$B$27,'Renewal Rates'!$B$27,0),'Renewal Rates'!$F$7),IF(A214="Renewal",100%,0%))</f>
        <v>2.6599999999999999E-2</v>
      </c>
      <c r="U214" s="68">
        <f t="shared" si="3"/>
        <v>5781.1907999999994</v>
      </c>
    </row>
    <row r="215" spans="1:21" s="41" customFormat="1" ht="13.8" x14ac:dyDescent="0.3">
      <c r="A215" s="115" t="s">
        <v>21</v>
      </c>
      <c r="B215" s="116">
        <v>2000596890</v>
      </c>
      <c r="C215" s="116">
        <v>5.01</v>
      </c>
      <c r="D215" s="117">
        <v>8.1999999999999993</v>
      </c>
      <c r="E215" s="117"/>
      <c r="F215" s="117">
        <v>225</v>
      </c>
      <c r="G215" s="117">
        <v>825</v>
      </c>
      <c r="H215" s="123"/>
      <c r="I215" s="117" t="s">
        <v>122</v>
      </c>
      <c r="J215" s="115">
        <v>378</v>
      </c>
      <c r="K215" s="115" t="s">
        <v>23</v>
      </c>
      <c r="L215" s="117" t="s">
        <v>24</v>
      </c>
      <c r="M215" s="66">
        <v>61618</v>
      </c>
      <c r="N215" s="66">
        <v>7490</v>
      </c>
      <c r="O215" s="66">
        <v>20950</v>
      </c>
      <c r="P215" s="66">
        <v>82569</v>
      </c>
      <c r="Q215" s="67">
        <v>0.4</v>
      </c>
      <c r="R215" s="66">
        <v>33027</v>
      </c>
      <c r="S215" s="66">
        <v>115596</v>
      </c>
      <c r="T215" s="106">
        <f>IF(A215="Upgrade",IF(OR(H215=4,H215=5),_xlfn.XLOOKUP(I215,'Renewal Rates'!$A$22:$A$27,'Renewal Rates'!$B$22:$B$27,'Renewal Rates'!$B$27,0),'Renewal Rates'!$F$7),IF(A215="Renewal",100%,0%))</f>
        <v>2.6599999999999999E-2</v>
      </c>
      <c r="U215" s="68">
        <f t="shared" si="3"/>
        <v>3074.8535999999999</v>
      </c>
    </row>
    <row r="216" spans="1:21" s="41" customFormat="1" ht="13.8" x14ac:dyDescent="0.3">
      <c r="A216" s="115" t="s">
        <v>21</v>
      </c>
      <c r="B216" s="116">
        <v>2000003495</v>
      </c>
      <c r="C216" s="116">
        <v>7.0039999999999996</v>
      </c>
      <c r="D216" s="117">
        <v>60.5</v>
      </c>
      <c r="E216" s="117"/>
      <c r="F216" s="117">
        <v>300</v>
      </c>
      <c r="G216" s="117">
        <v>450</v>
      </c>
      <c r="H216" s="123"/>
      <c r="I216" s="117" t="s">
        <v>122</v>
      </c>
      <c r="J216" s="115">
        <v>363</v>
      </c>
      <c r="K216" s="115" t="s">
        <v>23</v>
      </c>
      <c r="L216" s="117" t="s">
        <v>24</v>
      </c>
      <c r="M216" s="66">
        <v>200979</v>
      </c>
      <c r="N216" s="66">
        <v>3322</v>
      </c>
      <c r="O216" s="66">
        <v>68333</v>
      </c>
      <c r="P216" s="66">
        <v>269311</v>
      </c>
      <c r="Q216" s="67">
        <v>0.4</v>
      </c>
      <c r="R216" s="66">
        <v>107725</v>
      </c>
      <c r="S216" s="66">
        <v>377036</v>
      </c>
      <c r="T216" s="106">
        <f>IF(A216="Upgrade",IF(OR(H216=4,H216=5),_xlfn.XLOOKUP(I216,'Renewal Rates'!$A$22:$A$27,'Renewal Rates'!$B$22:$B$27,'Renewal Rates'!$B$27,0),'Renewal Rates'!$F$7),IF(A216="Renewal",100%,0%))</f>
        <v>2.6599999999999999E-2</v>
      </c>
      <c r="U216" s="68">
        <f t="shared" si="3"/>
        <v>10029.157599999999</v>
      </c>
    </row>
    <row r="217" spans="1:21" s="41" customFormat="1" ht="13.8" x14ac:dyDescent="0.3">
      <c r="A217" s="115" t="s">
        <v>21</v>
      </c>
      <c r="B217" s="116">
        <v>2000859940</v>
      </c>
      <c r="C217" s="116">
        <v>7.0039999999999996</v>
      </c>
      <c r="D217" s="117">
        <v>10.5</v>
      </c>
      <c r="E217" s="117"/>
      <c r="F217" s="117">
        <v>225</v>
      </c>
      <c r="G217" s="117">
        <v>450</v>
      </c>
      <c r="H217" s="123"/>
      <c r="I217" s="117" t="s">
        <v>122</v>
      </c>
      <c r="J217" s="115">
        <v>363</v>
      </c>
      <c r="K217" s="115" t="s">
        <v>23</v>
      </c>
      <c r="L217" s="117" t="s">
        <v>24</v>
      </c>
      <c r="M217" s="66">
        <v>51878</v>
      </c>
      <c r="N217" s="66">
        <v>4939</v>
      </c>
      <c r="O217" s="66">
        <v>17638</v>
      </c>
      <c r="P217" s="66">
        <v>69516</v>
      </c>
      <c r="Q217" s="67">
        <v>0.4</v>
      </c>
      <c r="R217" s="66">
        <v>27806</v>
      </c>
      <c r="S217" s="66">
        <v>97323</v>
      </c>
      <c r="T217" s="106">
        <f>IF(A217="Upgrade",IF(OR(H217=4,H217=5),_xlfn.XLOOKUP(I217,'Renewal Rates'!$A$22:$A$27,'Renewal Rates'!$B$22:$B$27,'Renewal Rates'!$B$27,0),'Renewal Rates'!$F$7),IF(A217="Renewal",100%,0%))</f>
        <v>2.6599999999999999E-2</v>
      </c>
      <c r="U217" s="68">
        <f t="shared" si="3"/>
        <v>2588.7918</v>
      </c>
    </row>
    <row r="218" spans="1:21" s="41" customFormat="1" ht="13.8" x14ac:dyDescent="0.3">
      <c r="A218" s="115" t="s">
        <v>21</v>
      </c>
      <c r="B218" s="116">
        <v>2000129875</v>
      </c>
      <c r="C218" s="116">
        <v>7.0039999999999996</v>
      </c>
      <c r="D218" s="117">
        <v>24</v>
      </c>
      <c r="E218" s="117"/>
      <c r="F218" s="117">
        <v>225</v>
      </c>
      <c r="G218" s="117">
        <v>450</v>
      </c>
      <c r="H218" s="123"/>
      <c r="I218" s="117" t="s">
        <v>122</v>
      </c>
      <c r="J218" s="115">
        <v>363</v>
      </c>
      <c r="K218" s="115" t="s">
        <v>23</v>
      </c>
      <c r="L218" s="117" t="s">
        <v>24</v>
      </c>
      <c r="M218" s="66">
        <v>80932</v>
      </c>
      <c r="N218" s="66">
        <v>3373</v>
      </c>
      <c r="O218" s="66">
        <v>27517</v>
      </c>
      <c r="P218" s="66">
        <v>108449</v>
      </c>
      <c r="Q218" s="67">
        <v>0.4</v>
      </c>
      <c r="R218" s="66">
        <v>43380</v>
      </c>
      <c r="S218" s="66">
        <v>151828</v>
      </c>
      <c r="T218" s="106">
        <f>IF(A218="Upgrade",IF(OR(H218=4,H218=5),_xlfn.XLOOKUP(I218,'Renewal Rates'!$A$22:$A$27,'Renewal Rates'!$B$22:$B$27,'Renewal Rates'!$B$27,0),'Renewal Rates'!$F$7),IF(A218="Renewal",100%,0%))</f>
        <v>2.6599999999999999E-2</v>
      </c>
      <c r="U218" s="68">
        <f t="shared" si="3"/>
        <v>4038.6247999999996</v>
      </c>
    </row>
    <row r="219" spans="1:21" s="41" customFormat="1" ht="13.8" x14ac:dyDescent="0.3">
      <c r="A219" s="115" t="s">
        <v>21</v>
      </c>
      <c r="B219" s="116">
        <v>2000801393</v>
      </c>
      <c r="C219" s="116">
        <v>7.0030000000000001</v>
      </c>
      <c r="D219" s="117">
        <v>47</v>
      </c>
      <c r="E219" s="117"/>
      <c r="F219" s="117">
        <v>225</v>
      </c>
      <c r="G219" s="117">
        <v>375</v>
      </c>
      <c r="H219" s="123"/>
      <c r="I219" s="117" t="s">
        <v>122</v>
      </c>
      <c r="J219" s="115">
        <v>368</v>
      </c>
      <c r="K219" s="115" t="s">
        <v>23</v>
      </c>
      <c r="L219" s="117" t="s">
        <v>24</v>
      </c>
      <c r="M219" s="66">
        <v>96874</v>
      </c>
      <c r="N219" s="66">
        <v>2062</v>
      </c>
      <c r="O219" s="66">
        <v>32937</v>
      </c>
      <c r="P219" s="66">
        <v>129811</v>
      </c>
      <c r="Q219" s="67">
        <v>0.4</v>
      </c>
      <c r="R219" s="66">
        <v>51924</v>
      </c>
      <c r="S219" s="66">
        <v>181735</v>
      </c>
      <c r="T219" s="106">
        <f>IF(A219="Upgrade",IF(OR(H219=4,H219=5),_xlfn.XLOOKUP(I219,'Renewal Rates'!$A$22:$A$27,'Renewal Rates'!$B$22:$B$27,'Renewal Rates'!$B$27,0),'Renewal Rates'!$F$7),IF(A219="Renewal",100%,0%))</f>
        <v>2.6599999999999999E-2</v>
      </c>
      <c r="U219" s="68">
        <f t="shared" si="3"/>
        <v>4834.1509999999998</v>
      </c>
    </row>
    <row r="220" spans="1:21" s="41" customFormat="1" ht="13.8" x14ac:dyDescent="0.3">
      <c r="A220" s="115" t="s">
        <v>21</v>
      </c>
      <c r="B220" s="116">
        <v>2000931313</v>
      </c>
      <c r="C220" s="116">
        <v>7.0030000000000001</v>
      </c>
      <c r="D220" s="117">
        <v>31</v>
      </c>
      <c r="E220" s="117"/>
      <c r="F220" s="117">
        <v>225</v>
      </c>
      <c r="G220" s="117">
        <v>375</v>
      </c>
      <c r="H220" s="123"/>
      <c r="I220" s="117" t="s">
        <v>122</v>
      </c>
      <c r="J220" s="115">
        <v>368</v>
      </c>
      <c r="K220" s="115" t="s">
        <v>23</v>
      </c>
      <c r="L220" s="117" t="s">
        <v>24</v>
      </c>
      <c r="M220" s="66">
        <v>71810</v>
      </c>
      <c r="N220" s="66">
        <v>2320</v>
      </c>
      <c r="O220" s="66">
        <v>24415</v>
      </c>
      <c r="P220" s="66">
        <v>96225</v>
      </c>
      <c r="Q220" s="67">
        <v>0.4</v>
      </c>
      <c r="R220" s="66">
        <v>38490</v>
      </c>
      <c r="S220" s="66">
        <v>134716</v>
      </c>
      <c r="T220" s="106">
        <f>IF(A220="Upgrade",IF(OR(H220=4,H220=5),_xlfn.XLOOKUP(I220,'Renewal Rates'!$A$22:$A$27,'Renewal Rates'!$B$22:$B$27,'Renewal Rates'!$B$27,0),'Renewal Rates'!$F$7),IF(A220="Renewal",100%,0%))</f>
        <v>2.6599999999999999E-2</v>
      </c>
      <c r="U220" s="68">
        <f t="shared" si="3"/>
        <v>3583.4456</v>
      </c>
    </row>
    <row r="221" spans="1:21" s="41" customFormat="1" ht="13.8" x14ac:dyDescent="0.3">
      <c r="A221" s="115" t="s">
        <v>21</v>
      </c>
      <c r="B221" s="116">
        <v>2000794106</v>
      </c>
      <c r="C221" s="116">
        <v>7.0049999999999999</v>
      </c>
      <c r="D221" s="117">
        <v>62.5</v>
      </c>
      <c r="E221" s="117"/>
      <c r="F221" s="117">
        <v>225</v>
      </c>
      <c r="G221" s="117">
        <v>450</v>
      </c>
      <c r="H221" s="123"/>
      <c r="I221" s="117" t="s">
        <v>122</v>
      </c>
      <c r="J221" s="115">
        <v>375</v>
      </c>
      <c r="K221" s="115" t="s">
        <v>23</v>
      </c>
      <c r="L221" s="117" t="s">
        <v>24</v>
      </c>
      <c r="M221" s="66">
        <v>202408</v>
      </c>
      <c r="N221" s="66">
        <v>3238</v>
      </c>
      <c r="O221" s="66">
        <v>68819</v>
      </c>
      <c r="P221" s="66">
        <v>271227</v>
      </c>
      <c r="Q221" s="67">
        <v>0.4</v>
      </c>
      <c r="R221" s="66">
        <v>108491</v>
      </c>
      <c r="S221" s="66">
        <v>379718</v>
      </c>
      <c r="T221" s="106">
        <f>IF(A221="Upgrade",IF(OR(H221=4,H221=5),_xlfn.XLOOKUP(I221,'Renewal Rates'!$A$22:$A$27,'Renewal Rates'!$B$22:$B$27,'Renewal Rates'!$B$27,0),'Renewal Rates'!$F$7),IF(A221="Renewal",100%,0%))</f>
        <v>2.6599999999999999E-2</v>
      </c>
      <c r="U221" s="68">
        <f t="shared" si="3"/>
        <v>10100.498799999999</v>
      </c>
    </row>
    <row r="222" spans="1:21" s="41" customFormat="1" ht="13.8" x14ac:dyDescent="0.3">
      <c r="A222" s="115" t="s">
        <v>21</v>
      </c>
      <c r="B222" s="116">
        <v>2000065222</v>
      </c>
      <c r="C222" s="116">
        <v>7.0019999999999998</v>
      </c>
      <c r="D222" s="117">
        <v>88.4</v>
      </c>
      <c r="E222" s="117"/>
      <c r="F222" s="117">
        <v>1200</v>
      </c>
      <c r="G222" s="117">
        <v>1500</v>
      </c>
      <c r="H222" s="123">
        <v>5</v>
      </c>
      <c r="I222" s="117">
        <v>3</v>
      </c>
      <c r="J222" s="115">
        <v>375</v>
      </c>
      <c r="K222" s="115" t="s">
        <v>23</v>
      </c>
      <c r="L222" s="117" t="s">
        <v>24</v>
      </c>
      <c r="M222" s="66">
        <v>744312</v>
      </c>
      <c r="N222" s="124">
        <v>8419</v>
      </c>
      <c r="O222" s="66">
        <v>253066</v>
      </c>
      <c r="P222" s="66">
        <v>997378</v>
      </c>
      <c r="Q222" s="67">
        <v>0.4</v>
      </c>
      <c r="R222" s="66">
        <v>398951</v>
      </c>
      <c r="S222" s="66">
        <v>1396329</v>
      </c>
      <c r="T222" s="106">
        <f>IF(A222="Upgrade",IF(OR(H222=4,H222=5),_xlfn.XLOOKUP(I222,'Renewal Rates'!$A$22:$A$27,'Renewal Rates'!$B$22:$B$27,'Renewal Rates'!$B$27,0),'Renewal Rates'!$F$7),IF(A222="Renewal",100%,0%))</f>
        <v>0.21</v>
      </c>
      <c r="U222" s="68">
        <f t="shared" si="3"/>
        <v>293229.08999999997</v>
      </c>
    </row>
    <row r="223" spans="1:21" s="41" customFormat="1" ht="13.8" x14ac:dyDescent="0.3">
      <c r="A223" s="115" t="s">
        <v>21</v>
      </c>
      <c r="B223" s="116">
        <v>2000847657</v>
      </c>
      <c r="C223" s="116">
        <v>8.0150000000000006</v>
      </c>
      <c r="D223" s="117">
        <v>68.5</v>
      </c>
      <c r="E223" s="117"/>
      <c r="F223" s="117">
        <v>525</v>
      </c>
      <c r="G223" s="117">
        <v>1200</v>
      </c>
      <c r="H223" s="123">
        <v>4</v>
      </c>
      <c r="I223" s="117">
        <v>5</v>
      </c>
      <c r="J223" s="115">
        <v>368</v>
      </c>
      <c r="K223" s="115" t="s">
        <v>23</v>
      </c>
      <c r="L223" s="117" t="s">
        <v>24</v>
      </c>
      <c r="M223" s="66">
        <v>49042</v>
      </c>
      <c r="N223" s="124">
        <v>-49042</v>
      </c>
      <c r="O223" s="66">
        <v>16674</v>
      </c>
      <c r="P223" s="66">
        <v>65717</v>
      </c>
      <c r="Q223" s="67">
        <v>0.4</v>
      </c>
      <c r="R223" s="66">
        <v>26287</v>
      </c>
      <c r="S223" s="66">
        <v>92003</v>
      </c>
      <c r="T223" s="106">
        <f>IF(A223="Upgrade",IF(OR(H223=4,H223=5),_xlfn.XLOOKUP(I223,'Renewal Rates'!$A$22:$A$27,'Renewal Rates'!$B$22:$B$27,'Renewal Rates'!$B$27,0),'Renewal Rates'!$F$7),IF(A223="Renewal",100%,0%))</f>
        <v>0.7</v>
      </c>
      <c r="U223" s="68">
        <f t="shared" si="3"/>
        <v>64402.1</v>
      </c>
    </row>
    <row r="224" spans="1:21" s="41" customFormat="1" ht="13.8" x14ac:dyDescent="0.3">
      <c r="A224" s="115" t="s">
        <v>21</v>
      </c>
      <c r="B224" s="116">
        <v>2000916712</v>
      </c>
      <c r="C224" s="116">
        <v>8.0139999999999993</v>
      </c>
      <c r="D224" s="117">
        <v>38.5</v>
      </c>
      <c r="E224" s="117"/>
      <c r="F224" s="117">
        <v>525</v>
      </c>
      <c r="G224" s="117">
        <v>1200</v>
      </c>
      <c r="H224" s="123"/>
      <c r="I224" s="117" t="s">
        <v>122</v>
      </c>
      <c r="J224" s="115">
        <v>368</v>
      </c>
      <c r="K224" s="115" t="s">
        <v>23</v>
      </c>
      <c r="L224" s="117" t="s">
        <v>24</v>
      </c>
      <c r="M224" s="66">
        <v>292550</v>
      </c>
      <c r="N224" s="124">
        <v>7602</v>
      </c>
      <c r="O224" s="66">
        <v>99467</v>
      </c>
      <c r="P224" s="66">
        <v>392017</v>
      </c>
      <c r="Q224" s="67">
        <v>0.4</v>
      </c>
      <c r="R224" s="66">
        <v>156807</v>
      </c>
      <c r="S224" s="66">
        <v>548823</v>
      </c>
      <c r="T224" s="106">
        <f>IF(A224="Upgrade",IF(OR(H224=4,H224=5),_xlfn.XLOOKUP(I224,'Renewal Rates'!$A$22:$A$27,'Renewal Rates'!$B$22:$B$27,'Renewal Rates'!$B$27,0),'Renewal Rates'!$F$7),IF(A224="Renewal",100%,0%))</f>
        <v>2.6599999999999999E-2</v>
      </c>
      <c r="U224" s="68">
        <f t="shared" si="3"/>
        <v>14598.691799999999</v>
      </c>
    </row>
    <row r="225" spans="1:21" s="41" customFormat="1" ht="13.8" x14ac:dyDescent="0.3">
      <c r="A225" s="115" t="s">
        <v>21</v>
      </c>
      <c r="B225" s="116">
        <v>2000596072</v>
      </c>
      <c r="C225" s="116">
        <v>8.0139999999999993</v>
      </c>
      <c r="D225" s="117">
        <v>19.5</v>
      </c>
      <c r="E225" s="117"/>
      <c r="F225" s="117">
        <v>525</v>
      </c>
      <c r="G225" s="117">
        <v>1200</v>
      </c>
      <c r="H225" s="123"/>
      <c r="I225" s="117" t="s">
        <v>122</v>
      </c>
      <c r="J225" s="115">
        <v>368</v>
      </c>
      <c r="K225" s="115" t="s">
        <v>23</v>
      </c>
      <c r="L225" s="117" t="s">
        <v>24</v>
      </c>
      <c r="M225" s="66">
        <v>10042</v>
      </c>
      <c r="N225" s="124">
        <v>-10042</v>
      </c>
      <c r="O225" s="66">
        <v>3414</v>
      </c>
      <c r="P225" s="66">
        <v>13457</v>
      </c>
      <c r="Q225" s="67">
        <v>0.4</v>
      </c>
      <c r="R225" s="66">
        <v>5383</v>
      </c>
      <c r="S225" s="66">
        <v>18839</v>
      </c>
      <c r="T225" s="106">
        <f>IF(A225="Upgrade",IF(OR(H225=4,H225=5),_xlfn.XLOOKUP(I225,'Renewal Rates'!$A$22:$A$27,'Renewal Rates'!$B$22:$B$27,'Renewal Rates'!$B$27,0),'Renewal Rates'!$F$7),IF(A225="Renewal",100%,0%))</f>
        <v>2.6599999999999999E-2</v>
      </c>
      <c r="U225" s="68">
        <f t="shared" si="3"/>
        <v>501.11739999999998</v>
      </c>
    </row>
    <row r="226" spans="1:21" s="41" customFormat="1" ht="13.8" x14ac:dyDescent="0.3">
      <c r="A226" s="115" t="s">
        <v>21</v>
      </c>
      <c r="B226" s="116">
        <v>2000461036</v>
      </c>
      <c r="C226" s="116">
        <v>8.0139999999999993</v>
      </c>
      <c r="D226" s="117">
        <v>48.1</v>
      </c>
      <c r="E226" s="117"/>
      <c r="F226" s="117">
        <v>525</v>
      </c>
      <c r="G226" s="117">
        <v>1200</v>
      </c>
      <c r="H226" s="123"/>
      <c r="I226" s="117" t="s">
        <v>122</v>
      </c>
      <c r="J226" s="115">
        <v>368</v>
      </c>
      <c r="K226" s="115" t="s">
        <v>23</v>
      </c>
      <c r="L226" s="117" t="s">
        <v>24</v>
      </c>
      <c r="M226" s="66">
        <v>360695</v>
      </c>
      <c r="N226" s="124">
        <v>7494</v>
      </c>
      <c r="O226" s="66">
        <v>122636</v>
      </c>
      <c r="P226" s="66">
        <v>483332</v>
      </c>
      <c r="Q226" s="67">
        <v>0.4</v>
      </c>
      <c r="R226" s="66">
        <v>193333</v>
      </c>
      <c r="S226" s="66">
        <v>676664</v>
      </c>
      <c r="T226" s="106">
        <f>IF(A226="Upgrade",IF(OR(H226=4,H226=5),_xlfn.XLOOKUP(I226,'Renewal Rates'!$A$22:$A$27,'Renewal Rates'!$B$22:$B$27,'Renewal Rates'!$B$27,0),'Renewal Rates'!$F$7),IF(A226="Renewal",100%,0%))</f>
        <v>2.6599999999999999E-2</v>
      </c>
      <c r="U226" s="68">
        <f t="shared" si="3"/>
        <v>17999.2624</v>
      </c>
    </row>
    <row r="227" spans="1:21" s="41" customFormat="1" ht="13.8" x14ac:dyDescent="0.3">
      <c r="A227" s="115" t="s">
        <v>21</v>
      </c>
      <c r="B227" s="116">
        <v>2000139296</v>
      </c>
      <c r="C227" s="116">
        <v>8.0139999999999993</v>
      </c>
      <c r="D227" s="117">
        <v>37</v>
      </c>
      <c r="E227" s="117"/>
      <c r="F227" s="117">
        <v>525</v>
      </c>
      <c r="G227" s="117">
        <v>1200</v>
      </c>
      <c r="H227" s="123"/>
      <c r="I227" s="117" t="s">
        <v>122</v>
      </c>
      <c r="J227" s="115">
        <v>368</v>
      </c>
      <c r="K227" s="115" t="s">
        <v>23</v>
      </c>
      <c r="L227" s="117" t="s">
        <v>24</v>
      </c>
      <c r="M227" s="66">
        <v>289145</v>
      </c>
      <c r="N227" s="124">
        <v>7806</v>
      </c>
      <c r="O227" s="66">
        <v>98309</v>
      </c>
      <c r="P227" s="66">
        <v>387454</v>
      </c>
      <c r="Q227" s="67">
        <v>0.4</v>
      </c>
      <c r="R227" s="66">
        <v>154981</v>
      </c>
      <c r="S227" s="66">
        <v>542435</v>
      </c>
      <c r="T227" s="106">
        <f>IF(A227="Upgrade",IF(OR(H227=4,H227=5),_xlfn.XLOOKUP(I227,'Renewal Rates'!$A$22:$A$27,'Renewal Rates'!$B$22:$B$27,'Renewal Rates'!$B$27,0),'Renewal Rates'!$F$7),IF(A227="Renewal",100%,0%))</f>
        <v>2.6599999999999999E-2</v>
      </c>
      <c r="U227" s="68">
        <f t="shared" si="3"/>
        <v>14428.770999999999</v>
      </c>
    </row>
    <row r="228" spans="1:21" s="41" customFormat="1" ht="13.8" x14ac:dyDescent="0.3">
      <c r="A228" s="115" t="s">
        <v>21</v>
      </c>
      <c r="B228" s="116">
        <v>2000589306</v>
      </c>
      <c r="C228" s="116">
        <v>8.0129999999999999</v>
      </c>
      <c r="D228" s="117">
        <v>20.100000000000001</v>
      </c>
      <c r="E228" s="117"/>
      <c r="F228" s="117">
        <v>450</v>
      </c>
      <c r="G228" s="117">
        <v>1125</v>
      </c>
      <c r="H228" s="123"/>
      <c r="I228" s="117" t="s">
        <v>122</v>
      </c>
      <c r="J228" s="115">
        <v>368</v>
      </c>
      <c r="K228" s="115" t="s">
        <v>23</v>
      </c>
      <c r="L228" s="117" t="s">
        <v>24</v>
      </c>
      <c r="M228" s="66">
        <v>178220</v>
      </c>
      <c r="N228" s="124">
        <v>8855</v>
      </c>
      <c r="O228" s="66">
        <v>60595</v>
      </c>
      <c r="P228" s="66">
        <v>238815</v>
      </c>
      <c r="Q228" s="67">
        <v>0.4</v>
      </c>
      <c r="R228" s="66">
        <v>95526</v>
      </c>
      <c r="S228" s="66">
        <v>334341</v>
      </c>
      <c r="T228" s="106">
        <f>IF(A228="Upgrade",IF(OR(H228=4,H228=5),_xlfn.XLOOKUP(I228,'Renewal Rates'!$A$22:$A$27,'Renewal Rates'!$B$22:$B$27,'Renewal Rates'!$B$27,0),'Renewal Rates'!$F$7),IF(A228="Renewal",100%,0%))</f>
        <v>2.6599999999999999E-2</v>
      </c>
      <c r="U228" s="68">
        <f t="shared" si="3"/>
        <v>8893.4705999999987</v>
      </c>
    </row>
    <row r="229" spans="1:21" s="41" customFormat="1" ht="13.8" x14ac:dyDescent="0.3">
      <c r="A229" s="115" t="s">
        <v>21</v>
      </c>
      <c r="B229" s="116">
        <v>2000106312</v>
      </c>
      <c r="C229" s="116">
        <v>8.0129999999999999</v>
      </c>
      <c r="D229" s="117">
        <v>4.9000000000000004</v>
      </c>
      <c r="E229" s="117"/>
      <c r="F229" s="117">
        <v>450</v>
      </c>
      <c r="G229" s="117">
        <v>1125</v>
      </c>
      <c r="H229" s="123"/>
      <c r="I229" s="117" t="s">
        <v>122</v>
      </c>
      <c r="J229" s="115">
        <v>368</v>
      </c>
      <c r="K229" s="115" t="s">
        <v>23</v>
      </c>
      <c r="L229" s="117" t="s">
        <v>24</v>
      </c>
      <c r="M229" s="66">
        <v>76721</v>
      </c>
      <c r="N229" s="66">
        <v>15774</v>
      </c>
      <c r="O229" s="66">
        <v>26085</v>
      </c>
      <c r="P229" s="66">
        <v>102806</v>
      </c>
      <c r="Q229" s="67">
        <v>0.4</v>
      </c>
      <c r="R229" s="66">
        <v>41122</v>
      </c>
      <c r="S229" s="66">
        <v>143928</v>
      </c>
      <c r="T229" s="106">
        <f>IF(A229="Upgrade",IF(OR(H229=4,H229=5),_xlfn.XLOOKUP(I229,'Renewal Rates'!$A$22:$A$27,'Renewal Rates'!$B$22:$B$27,'Renewal Rates'!$B$27,0),'Renewal Rates'!$F$7),IF(A229="Renewal",100%,0%))</f>
        <v>2.6599999999999999E-2</v>
      </c>
      <c r="U229" s="68">
        <f t="shared" si="3"/>
        <v>3828.4847999999997</v>
      </c>
    </row>
    <row r="230" spans="1:21" s="41" customFormat="1" ht="13.8" x14ac:dyDescent="0.3">
      <c r="A230" s="115" t="s">
        <v>21</v>
      </c>
      <c r="B230" s="116">
        <v>2000613177</v>
      </c>
      <c r="C230" s="116">
        <v>8.0129999999999999</v>
      </c>
      <c r="D230" s="117">
        <v>4.5</v>
      </c>
      <c r="E230" s="117"/>
      <c r="F230" s="117">
        <v>450</v>
      </c>
      <c r="G230" s="117">
        <v>1125</v>
      </c>
      <c r="H230" s="123"/>
      <c r="I230" s="117" t="s">
        <v>122</v>
      </c>
      <c r="J230" s="115">
        <v>368</v>
      </c>
      <c r="K230" s="115" t="s">
        <v>23</v>
      </c>
      <c r="L230" s="117" t="s">
        <v>24</v>
      </c>
      <c r="M230" s="66">
        <v>75927</v>
      </c>
      <c r="N230" s="66">
        <v>16867</v>
      </c>
      <c r="O230" s="66">
        <v>25815</v>
      </c>
      <c r="P230" s="66">
        <v>101742</v>
      </c>
      <c r="Q230" s="67">
        <v>0.4</v>
      </c>
      <c r="R230" s="66">
        <v>40697</v>
      </c>
      <c r="S230" s="66">
        <v>142439</v>
      </c>
      <c r="T230" s="106">
        <f>IF(A230="Upgrade",IF(OR(H230=4,H230=5),_xlfn.XLOOKUP(I230,'Renewal Rates'!$A$22:$A$27,'Renewal Rates'!$B$22:$B$27,'Renewal Rates'!$B$27,0),'Renewal Rates'!$F$7),IF(A230="Renewal",100%,0%))</f>
        <v>2.6599999999999999E-2</v>
      </c>
      <c r="U230" s="68">
        <f t="shared" si="3"/>
        <v>3788.8773999999999</v>
      </c>
    </row>
    <row r="231" spans="1:21" s="41" customFormat="1" ht="13.8" x14ac:dyDescent="0.3">
      <c r="A231" s="115" t="s">
        <v>21</v>
      </c>
      <c r="B231" s="116">
        <v>2000731996</v>
      </c>
      <c r="C231" s="116">
        <v>8.0129999999999999</v>
      </c>
      <c r="D231" s="117">
        <v>18.399999999999999</v>
      </c>
      <c r="E231" s="117"/>
      <c r="F231" s="117">
        <v>450</v>
      </c>
      <c r="G231" s="117">
        <v>1125</v>
      </c>
      <c r="H231" s="123"/>
      <c r="I231" s="117" t="s">
        <v>122</v>
      </c>
      <c r="J231" s="115">
        <v>368</v>
      </c>
      <c r="K231" s="115" t="s">
        <v>23</v>
      </c>
      <c r="L231" s="117" t="s">
        <v>24</v>
      </c>
      <c r="M231" s="66">
        <v>190689</v>
      </c>
      <c r="N231" s="66">
        <v>10380</v>
      </c>
      <c r="O231" s="66">
        <v>64834</v>
      </c>
      <c r="P231" s="66">
        <v>255524</v>
      </c>
      <c r="Q231" s="67">
        <v>0.4</v>
      </c>
      <c r="R231" s="66">
        <v>102209</v>
      </c>
      <c r="S231" s="66">
        <v>357733</v>
      </c>
      <c r="T231" s="106">
        <f>IF(A231="Upgrade",IF(OR(H231=4,H231=5),_xlfn.XLOOKUP(I231,'Renewal Rates'!$A$22:$A$27,'Renewal Rates'!$B$22:$B$27,'Renewal Rates'!$B$27,0),'Renewal Rates'!$F$7),IF(A231="Renewal",100%,0%))</f>
        <v>2.6599999999999999E-2</v>
      </c>
      <c r="U231" s="68">
        <f t="shared" si="3"/>
        <v>9515.6977999999999</v>
      </c>
    </row>
    <row r="232" spans="1:21" s="41" customFormat="1" ht="13.8" x14ac:dyDescent="0.3">
      <c r="A232" s="115" t="s">
        <v>21</v>
      </c>
      <c r="B232" s="116">
        <v>2000687142</v>
      </c>
      <c r="C232" s="116">
        <v>8.0129999999999999</v>
      </c>
      <c r="D232" s="117">
        <v>11.9</v>
      </c>
      <c r="E232" s="117"/>
      <c r="F232" s="117">
        <v>450</v>
      </c>
      <c r="G232" s="117">
        <v>1125</v>
      </c>
      <c r="H232" s="123"/>
      <c r="I232" s="117" t="s">
        <v>122</v>
      </c>
      <c r="J232" s="115">
        <v>368</v>
      </c>
      <c r="K232" s="115" t="s">
        <v>23</v>
      </c>
      <c r="L232" s="117" t="s">
        <v>24</v>
      </c>
      <c r="M232" s="66">
        <v>153812</v>
      </c>
      <c r="N232" s="66">
        <v>12931</v>
      </c>
      <c r="O232" s="66">
        <v>52296</v>
      </c>
      <c r="P232" s="66">
        <v>206108</v>
      </c>
      <c r="Q232" s="67">
        <v>0.4</v>
      </c>
      <c r="R232" s="66">
        <v>82443</v>
      </c>
      <c r="S232" s="66">
        <v>288551</v>
      </c>
      <c r="T232" s="106">
        <f>IF(A232="Upgrade",IF(OR(H232=4,H232=5),_xlfn.XLOOKUP(I232,'Renewal Rates'!$A$22:$A$27,'Renewal Rates'!$B$22:$B$27,'Renewal Rates'!$B$27,0),'Renewal Rates'!$F$7),IF(A232="Renewal",100%,0%))</f>
        <v>2.6599999999999999E-2</v>
      </c>
      <c r="U232" s="68">
        <f t="shared" si="3"/>
        <v>7675.4565999999995</v>
      </c>
    </row>
    <row r="233" spans="1:21" s="41" customFormat="1" ht="13.8" x14ac:dyDescent="0.3">
      <c r="A233" s="115" t="s">
        <v>21</v>
      </c>
      <c r="B233" s="116">
        <v>2000869006</v>
      </c>
      <c r="C233" s="116">
        <v>8.0220000000000002</v>
      </c>
      <c r="D233" s="117">
        <v>59.3</v>
      </c>
      <c r="E233" s="117"/>
      <c r="F233" s="117">
        <v>375</v>
      </c>
      <c r="G233" s="117">
        <v>825</v>
      </c>
      <c r="H233" s="123">
        <v>4</v>
      </c>
      <c r="I233" s="117">
        <v>3</v>
      </c>
      <c r="J233" s="115">
        <v>368</v>
      </c>
      <c r="K233" s="115" t="s">
        <v>23</v>
      </c>
      <c r="L233" s="117" t="s">
        <v>24</v>
      </c>
      <c r="M233" s="66">
        <v>280124</v>
      </c>
      <c r="N233" s="66">
        <v>4723</v>
      </c>
      <c r="O233" s="66">
        <v>95242</v>
      </c>
      <c r="P233" s="66">
        <v>375366</v>
      </c>
      <c r="Q233" s="67">
        <v>0.4</v>
      </c>
      <c r="R233" s="66">
        <v>150146</v>
      </c>
      <c r="S233" s="66">
        <v>525512</v>
      </c>
      <c r="T233" s="106">
        <f>IF(A233="Upgrade",IF(OR(H233=4,H233=5),_xlfn.XLOOKUP(I233,'Renewal Rates'!$A$22:$A$27,'Renewal Rates'!$B$22:$B$27,'Renewal Rates'!$B$27,0),'Renewal Rates'!$F$7),IF(A233="Renewal",100%,0%))</f>
        <v>0.21</v>
      </c>
      <c r="U233" s="68">
        <f t="shared" si="3"/>
        <v>110357.51999999999</v>
      </c>
    </row>
    <row r="234" spans="1:21" s="41" customFormat="1" ht="13.8" x14ac:dyDescent="0.3">
      <c r="A234" s="115" t="s">
        <v>21</v>
      </c>
      <c r="B234" s="116">
        <v>2000478148</v>
      </c>
      <c r="C234" s="116">
        <v>8.01</v>
      </c>
      <c r="D234" s="117">
        <v>52.8</v>
      </c>
      <c r="E234" s="117"/>
      <c r="F234" s="117">
        <v>375</v>
      </c>
      <c r="G234" s="117">
        <v>750</v>
      </c>
      <c r="H234" s="123">
        <v>4</v>
      </c>
      <c r="I234" s="117">
        <v>1</v>
      </c>
      <c r="J234" s="115">
        <v>368</v>
      </c>
      <c r="K234" s="115" t="s">
        <v>23</v>
      </c>
      <c r="L234" s="117" t="s">
        <v>24</v>
      </c>
      <c r="M234" s="66">
        <v>243073</v>
      </c>
      <c r="N234" s="66">
        <v>4600</v>
      </c>
      <c r="O234" s="66">
        <v>82645</v>
      </c>
      <c r="P234" s="66">
        <v>325718</v>
      </c>
      <c r="Q234" s="67">
        <v>0.4</v>
      </c>
      <c r="R234" s="66">
        <v>130287</v>
      </c>
      <c r="S234" s="66">
        <v>456005</v>
      </c>
      <c r="T234" s="106">
        <f>IF(A234="Upgrade",IF(OR(H234=4,H234=5),_xlfn.XLOOKUP(I234,'Renewal Rates'!$A$22:$A$27,'Renewal Rates'!$B$22:$B$27,'Renewal Rates'!$B$27,0),'Renewal Rates'!$F$7),IF(A234="Renewal",100%,0%))</f>
        <v>0</v>
      </c>
      <c r="U234" s="68">
        <f t="shared" si="3"/>
        <v>0</v>
      </c>
    </row>
    <row r="235" spans="1:21" s="41" customFormat="1" ht="13.8" x14ac:dyDescent="0.3">
      <c r="A235" s="115" t="s">
        <v>21</v>
      </c>
      <c r="B235" s="116">
        <v>3000022410</v>
      </c>
      <c r="C235" s="116">
        <v>8.01</v>
      </c>
      <c r="D235" s="117">
        <v>2.8</v>
      </c>
      <c r="E235" s="117"/>
      <c r="F235" s="117">
        <v>450</v>
      </c>
      <c r="G235" s="117">
        <v>750</v>
      </c>
      <c r="H235" s="123"/>
      <c r="I235" s="117" t="s">
        <v>122</v>
      </c>
      <c r="J235" s="115">
        <v>368</v>
      </c>
      <c r="K235" s="115" t="s">
        <v>23</v>
      </c>
      <c r="L235" s="117" t="s">
        <v>24</v>
      </c>
      <c r="M235" s="66">
        <v>53290</v>
      </c>
      <c r="N235" s="66">
        <v>19355</v>
      </c>
      <c r="O235" s="66">
        <v>18119</v>
      </c>
      <c r="P235" s="66">
        <v>71409</v>
      </c>
      <c r="Q235" s="67">
        <v>0.4</v>
      </c>
      <c r="R235" s="66">
        <v>28564</v>
      </c>
      <c r="S235" s="66">
        <v>99973</v>
      </c>
      <c r="T235" s="106">
        <f>IF(A235="Upgrade",IF(OR(H235=4,H235=5),_xlfn.XLOOKUP(I235,'Renewal Rates'!$A$22:$A$27,'Renewal Rates'!$B$22:$B$27,'Renewal Rates'!$B$27,0),'Renewal Rates'!$F$7),IF(A235="Renewal",100%,0%))</f>
        <v>2.6599999999999999E-2</v>
      </c>
      <c r="U235" s="68">
        <f t="shared" si="3"/>
        <v>2659.2817999999997</v>
      </c>
    </row>
    <row r="236" spans="1:21" s="41" customFormat="1" ht="13.8" x14ac:dyDescent="0.3">
      <c r="A236" s="115" t="s">
        <v>21</v>
      </c>
      <c r="B236" s="116">
        <v>3000022411</v>
      </c>
      <c r="C236" s="116">
        <v>8.01</v>
      </c>
      <c r="D236" s="117">
        <v>14.7</v>
      </c>
      <c r="E236" s="117"/>
      <c r="F236" s="117">
        <v>450</v>
      </c>
      <c r="G236" s="117">
        <v>750</v>
      </c>
      <c r="H236" s="123"/>
      <c r="I236" s="117" t="s">
        <v>122</v>
      </c>
      <c r="J236" s="115">
        <v>368</v>
      </c>
      <c r="K236" s="115" t="s">
        <v>23</v>
      </c>
      <c r="L236" s="117" t="s">
        <v>24</v>
      </c>
      <c r="M236" s="66">
        <v>88953</v>
      </c>
      <c r="N236" s="66">
        <v>6057</v>
      </c>
      <c r="O236" s="66">
        <v>30244</v>
      </c>
      <c r="P236" s="66">
        <v>119197</v>
      </c>
      <c r="Q236" s="67">
        <v>0.4</v>
      </c>
      <c r="R236" s="66">
        <v>47679</v>
      </c>
      <c r="S236" s="66">
        <v>166876</v>
      </c>
      <c r="T236" s="106">
        <f>IF(A236="Upgrade",IF(OR(H236=4,H236=5),_xlfn.XLOOKUP(I236,'Renewal Rates'!$A$22:$A$27,'Renewal Rates'!$B$22:$B$27,'Renewal Rates'!$B$27,0),'Renewal Rates'!$F$7),IF(A236="Renewal",100%,0%))</f>
        <v>2.6599999999999999E-2</v>
      </c>
      <c r="U236" s="68">
        <f t="shared" si="3"/>
        <v>4438.9016000000001</v>
      </c>
    </row>
    <row r="237" spans="1:21" s="41" customFormat="1" ht="13.8" x14ac:dyDescent="0.3">
      <c r="A237" s="115" t="s">
        <v>21</v>
      </c>
      <c r="B237" s="116">
        <v>3000022409</v>
      </c>
      <c r="C237" s="116">
        <v>8.01</v>
      </c>
      <c r="D237" s="117">
        <v>14.2</v>
      </c>
      <c r="E237" s="117"/>
      <c r="F237" s="117">
        <v>450</v>
      </c>
      <c r="G237" s="117">
        <v>750</v>
      </c>
      <c r="H237" s="123"/>
      <c r="I237" s="117" t="s">
        <v>122</v>
      </c>
      <c r="J237" s="115">
        <v>368</v>
      </c>
      <c r="K237" s="115" t="s">
        <v>23</v>
      </c>
      <c r="L237" s="117" t="s">
        <v>24</v>
      </c>
      <c r="M237" s="66">
        <v>88311</v>
      </c>
      <c r="N237" s="66">
        <v>6213</v>
      </c>
      <c r="O237" s="66">
        <v>30026</v>
      </c>
      <c r="P237" s="66">
        <v>118337</v>
      </c>
      <c r="Q237" s="67">
        <v>0.4</v>
      </c>
      <c r="R237" s="66">
        <v>47335</v>
      </c>
      <c r="S237" s="66">
        <v>165672</v>
      </c>
      <c r="T237" s="106">
        <f>IF(A237="Upgrade",IF(OR(H237=4,H237=5),_xlfn.XLOOKUP(I237,'Renewal Rates'!$A$22:$A$27,'Renewal Rates'!$B$22:$B$27,'Renewal Rates'!$B$27,0),'Renewal Rates'!$F$7),IF(A237="Renewal",100%,0%))</f>
        <v>2.6599999999999999E-2</v>
      </c>
      <c r="U237" s="68">
        <f t="shared" si="3"/>
        <v>4406.8751999999995</v>
      </c>
    </row>
    <row r="238" spans="1:21" s="41" customFormat="1" ht="13.8" x14ac:dyDescent="0.3">
      <c r="A238" s="115" t="s">
        <v>21</v>
      </c>
      <c r="B238" s="116">
        <v>2000469467</v>
      </c>
      <c r="C238" s="116">
        <v>8.01</v>
      </c>
      <c r="D238" s="117">
        <v>20.9</v>
      </c>
      <c r="E238" s="117"/>
      <c r="F238" s="117">
        <v>300</v>
      </c>
      <c r="G238" s="117">
        <v>750</v>
      </c>
      <c r="H238" s="123"/>
      <c r="I238" s="117" t="s">
        <v>122</v>
      </c>
      <c r="J238" s="115">
        <v>368</v>
      </c>
      <c r="K238" s="115" t="s">
        <v>23</v>
      </c>
      <c r="L238" s="117" t="s">
        <v>24</v>
      </c>
      <c r="M238" s="66">
        <v>116783</v>
      </c>
      <c r="N238" s="66">
        <v>5599</v>
      </c>
      <c r="O238" s="66">
        <v>39706</v>
      </c>
      <c r="P238" s="66">
        <v>156489</v>
      </c>
      <c r="Q238" s="67">
        <v>0.4</v>
      </c>
      <c r="R238" s="66">
        <v>62596</v>
      </c>
      <c r="S238" s="66">
        <v>219085</v>
      </c>
      <c r="T238" s="106">
        <f>IF(A238="Upgrade",IF(OR(H238=4,H238=5),_xlfn.XLOOKUP(I238,'Renewal Rates'!$A$22:$A$27,'Renewal Rates'!$B$22:$B$27,'Renewal Rates'!$B$27,0),'Renewal Rates'!$F$7),IF(A238="Renewal",100%,0%))</f>
        <v>2.6599999999999999E-2</v>
      </c>
      <c r="U238" s="68">
        <f t="shared" si="3"/>
        <v>5827.6610000000001</v>
      </c>
    </row>
    <row r="239" spans="1:21" s="41" customFormat="1" ht="13.8" x14ac:dyDescent="0.3">
      <c r="A239" s="115" t="s">
        <v>21</v>
      </c>
      <c r="B239" s="116">
        <v>2000232348</v>
      </c>
      <c r="C239" s="116">
        <v>8.0090000000000003</v>
      </c>
      <c r="D239" s="117">
        <v>15</v>
      </c>
      <c r="E239" s="117"/>
      <c r="F239" s="117">
        <v>300</v>
      </c>
      <c r="G239" s="117">
        <v>600</v>
      </c>
      <c r="H239" s="123"/>
      <c r="I239" s="117" t="s">
        <v>122</v>
      </c>
      <c r="J239" s="115">
        <v>368</v>
      </c>
      <c r="K239" s="115" t="s">
        <v>23</v>
      </c>
      <c r="L239" s="117" t="s">
        <v>24</v>
      </c>
      <c r="M239" s="66">
        <v>78379</v>
      </c>
      <c r="N239" s="66">
        <v>5236</v>
      </c>
      <c r="O239" s="66">
        <v>26649</v>
      </c>
      <c r="P239" s="66">
        <v>105028</v>
      </c>
      <c r="Q239" s="67">
        <v>0.4</v>
      </c>
      <c r="R239" s="66">
        <v>42011</v>
      </c>
      <c r="S239" s="66">
        <v>147039</v>
      </c>
      <c r="T239" s="106">
        <f>IF(A239="Upgrade",IF(OR(H239=4,H239=5),_xlfn.XLOOKUP(I239,'Renewal Rates'!$A$22:$A$27,'Renewal Rates'!$B$22:$B$27,'Renewal Rates'!$B$27,0),'Renewal Rates'!$F$7),IF(A239="Renewal",100%,0%))</f>
        <v>2.6599999999999999E-2</v>
      </c>
      <c r="U239" s="68">
        <f t="shared" si="3"/>
        <v>3911.2374</v>
      </c>
    </row>
    <row r="240" spans="1:21" s="41" customFormat="1" ht="13.8" x14ac:dyDescent="0.3">
      <c r="A240" s="115" t="s">
        <v>21</v>
      </c>
      <c r="B240" s="116">
        <v>2000060161</v>
      </c>
      <c r="C240" s="116">
        <v>8.0090000000000003</v>
      </c>
      <c r="D240" s="117">
        <v>26.5</v>
      </c>
      <c r="E240" s="117"/>
      <c r="F240" s="117">
        <v>300</v>
      </c>
      <c r="G240" s="117">
        <v>600</v>
      </c>
      <c r="H240" s="123"/>
      <c r="I240" s="117" t="s">
        <v>122</v>
      </c>
      <c r="J240" s="115">
        <v>368</v>
      </c>
      <c r="K240" s="115" t="s">
        <v>23</v>
      </c>
      <c r="L240" s="117" t="s">
        <v>24</v>
      </c>
      <c r="M240" s="66">
        <v>109758</v>
      </c>
      <c r="N240" s="66">
        <v>4139</v>
      </c>
      <c r="O240" s="66">
        <v>37318</v>
      </c>
      <c r="P240" s="66">
        <v>147075</v>
      </c>
      <c r="Q240" s="67">
        <v>0.4</v>
      </c>
      <c r="R240" s="66">
        <v>58830</v>
      </c>
      <c r="S240" s="66">
        <v>205905</v>
      </c>
      <c r="T240" s="106">
        <f>IF(A240="Upgrade",IF(OR(H240=4,H240=5),_xlfn.XLOOKUP(I240,'Renewal Rates'!$A$22:$A$27,'Renewal Rates'!$B$22:$B$27,'Renewal Rates'!$B$27,0),'Renewal Rates'!$F$7),IF(A240="Renewal",100%,0%))</f>
        <v>2.6599999999999999E-2</v>
      </c>
      <c r="U240" s="68">
        <f t="shared" si="3"/>
        <v>5477.0729999999994</v>
      </c>
    </row>
    <row r="241" spans="1:21" s="41" customFormat="1" ht="13.8" x14ac:dyDescent="0.3">
      <c r="A241" s="115" t="s">
        <v>21</v>
      </c>
      <c r="B241" s="116">
        <v>2000565380</v>
      </c>
      <c r="C241" s="116">
        <v>8.0090000000000003</v>
      </c>
      <c r="D241" s="117">
        <v>6.3</v>
      </c>
      <c r="E241" s="117"/>
      <c r="F241" s="117">
        <v>300</v>
      </c>
      <c r="G241" s="117">
        <v>600</v>
      </c>
      <c r="H241" s="123"/>
      <c r="I241" s="117" t="s">
        <v>122</v>
      </c>
      <c r="J241" s="115">
        <v>368</v>
      </c>
      <c r="K241" s="115" t="s">
        <v>23</v>
      </c>
      <c r="L241" s="117" t="s">
        <v>24</v>
      </c>
      <c r="M241" s="66">
        <v>66363</v>
      </c>
      <c r="N241" s="66">
        <v>10521</v>
      </c>
      <c r="O241" s="66">
        <v>22563</v>
      </c>
      <c r="P241" s="66">
        <v>88926</v>
      </c>
      <c r="Q241" s="67">
        <v>0.4</v>
      </c>
      <c r="R241" s="66">
        <v>35570</v>
      </c>
      <c r="S241" s="66">
        <v>124496</v>
      </c>
      <c r="T241" s="106">
        <f>IF(A241="Upgrade",IF(OR(H241=4,H241=5),_xlfn.XLOOKUP(I241,'Renewal Rates'!$A$22:$A$27,'Renewal Rates'!$B$22:$B$27,'Renewal Rates'!$B$27,0),'Renewal Rates'!$F$7),IF(A241="Renewal",100%,0%))</f>
        <v>2.6599999999999999E-2</v>
      </c>
      <c r="U241" s="68">
        <f t="shared" si="3"/>
        <v>3311.5935999999997</v>
      </c>
    </row>
    <row r="242" spans="1:21" s="41" customFormat="1" ht="13.8" x14ac:dyDescent="0.3">
      <c r="A242" s="115" t="s">
        <v>21</v>
      </c>
      <c r="B242" s="116">
        <v>2000046650</v>
      </c>
      <c r="C242" s="116">
        <v>8.0090000000000003</v>
      </c>
      <c r="D242" s="117">
        <v>36</v>
      </c>
      <c r="E242" s="117"/>
      <c r="F242" s="117">
        <v>450</v>
      </c>
      <c r="G242" s="117">
        <v>600</v>
      </c>
      <c r="H242" s="123">
        <v>4</v>
      </c>
      <c r="I242" s="117">
        <v>2</v>
      </c>
      <c r="J242" s="115">
        <v>368</v>
      </c>
      <c r="K242" s="115" t="s">
        <v>23</v>
      </c>
      <c r="L242" s="117" t="s">
        <v>24</v>
      </c>
      <c r="M242" s="66">
        <v>155422</v>
      </c>
      <c r="N242" s="66">
        <v>4313</v>
      </c>
      <c r="O242" s="66">
        <v>52843</v>
      </c>
      <c r="P242" s="66">
        <v>208265</v>
      </c>
      <c r="Q242" s="67">
        <v>0.4</v>
      </c>
      <c r="R242" s="66">
        <v>83306</v>
      </c>
      <c r="S242" s="66">
        <v>291571</v>
      </c>
      <c r="T242" s="106">
        <f>IF(A242="Upgrade",IF(OR(H242=4,H242=5),_xlfn.XLOOKUP(I242,'Renewal Rates'!$A$22:$A$27,'Renewal Rates'!$B$22:$B$27,'Renewal Rates'!$B$27,0),'Renewal Rates'!$F$7),IF(A242="Renewal",100%,0%))</f>
        <v>0</v>
      </c>
      <c r="U242" s="68">
        <f t="shared" si="3"/>
        <v>0</v>
      </c>
    </row>
    <row r="243" spans="1:21" s="41" customFormat="1" ht="13.8" x14ac:dyDescent="0.3">
      <c r="A243" s="115" t="s">
        <v>21</v>
      </c>
      <c r="B243" s="116">
        <v>2000809929</v>
      </c>
      <c r="C243" s="116">
        <v>8.0079999999999991</v>
      </c>
      <c r="D243" s="117">
        <v>9.1</v>
      </c>
      <c r="E243" s="117"/>
      <c r="F243" s="117">
        <v>300</v>
      </c>
      <c r="G243" s="117">
        <v>600</v>
      </c>
      <c r="H243" s="123"/>
      <c r="I243" s="117" t="s">
        <v>122</v>
      </c>
      <c r="J243" s="115">
        <v>368</v>
      </c>
      <c r="K243" s="115" t="s">
        <v>23</v>
      </c>
      <c r="L243" s="117" t="s">
        <v>24</v>
      </c>
      <c r="M243" s="66">
        <v>52827</v>
      </c>
      <c r="N243" s="66">
        <v>5832</v>
      </c>
      <c r="O243" s="66">
        <v>17961</v>
      </c>
      <c r="P243" s="66">
        <v>70789</v>
      </c>
      <c r="Q243" s="67">
        <v>0.4</v>
      </c>
      <c r="R243" s="66">
        <v>28315</v>
      </c>
      <c r="S243" s="66">
        <v>99104</v>
      </c>
      <c r="T243" s="106">
        <f>IF(A243="Upgrade",IF(OR(H243=4,H243=5),_xlfn.XLOOKUP(I243,'Renewal Rates'!$A$22:$A$27,'Renewal Rates'!$B$22:$B$27,'Renewal Rates'!$B$27,0),'Renewal Rates'!$F$7),IF(A243="Renewal",100%,0%))</f>
        <v>2.6599999999999999E-2</v>
      </c>
      <c r="U243" s="68">
        <f t="shared" si="3"/>
        <v>2636.1664000000001</v>
      </c>
    </row>
    <row r="244" spans="1:21" s="41" customFormat="1" ht="13.8" x14ac:dyDescent="0.3">
      <c r="A244" s="115" t="s">
        <v>21</v>
      </c>
      <c r="B244" s="116">
        <v>2000367801</v>
      </c>
      <c r="C244" s="116">
        <v>8.0079999999999991</v>
      </c>
      <c r="D244" s="117">
        <v>31.4</v>
      </c>
      <c r="E244" s="117"/>
      <c r="F244" s="117">
        <v>300</v>
      </c>
      <c r="G244" s="117">
        <v>600</v>
      </c>
      <c r="H244" s="123"/>
      <c r="I244" s="117" t="s">
        <v>122</v>
      </c>
      <c r="J244" s="115">
        <v>368</v>
      </c>
      <c r="K244" s="115" t="s">
        <v>23</v>
      </c>
      <c r="L244" s="117" t="s">
        <v>24</v>
      </c>
      <c r="M244" s="66">
        <v>114799</v>
      </c>
      <c r="N244" s="66">
        <v>3657</v>
      </c>
      <c r="O244" s="66">
        <v>39032</v>
      </c>
      <c r="P244" s="66">
        <v>153830</v>
      </c>
      <c r="Q244" s="67">
        <v>0.4</v>
      </c>
      <c r="R244" s="66">
        <v>61532</v>
      </c>
      <c r="S244" s="66">
        <v>215362</v>
      </c>
      <c r="T244" s="106">
        <f>IF(A244="Upgrade",IF(OR(H244=4,H244=5),_xlfn.XLOOKUP(I244,'Renewal Rates'!$A$22:$A$27,'Renewal Rates'!$B$22:$B$27,'Renewal Rates'!$B$27,0),'Renewal Rates'!$F$7),IF(A244="Renewal",100%,0%))</f>
        <v>2.6599999999999999E-2</v>
      </c>
      <c r="U244" s="68">
        <f t="shared" si="3"/>
        <v>5728.6291999999994</v>
      </c>
    </row>
    <row r="245" spans="1:21" s="41" customFormat="1" ht="13.8" x14ac:dyDescent="0.3">
      <c r="A245" s="115" t="s">
        <v>21</v>
      </c>
      <c r="B245" s="116">
        <v>2000589600</v>
      </c>
      <c r="C245" s="116">
        <v>8.0079999999999991</v>
      </c>
      <c r="D245" s="117">
        <v>19</v>
      </c>
      <c r="E245" s="117"/>
      <c r="F245" s="117">
        <v>300</v>
      </c>
      <c r="G245" s="117">
        <v>600</v>
      </c>
      <c r="H245" s="123">
        <v>4</v>
      </c>
      <c r="I245" s="117">
        <v>4</v>
      </c>
      <c r="J245" s="115">
        <v>368</v>
      </c>
      <c r="K245" s="115" t="s">
        <v>23</v>
      </c>
      <c r="L245" s="117" t="s">
        <v>24</v>
      </c>
      <c r="M245" s="66">
        <v>82575</v>
      </c>
      <c r="N245" s="66">
        <v>4340</v>
      </c>
      <c r="O245" s="66">
        <v>28075</v>
      </c>
      <c r="P245" s="66">
        <v>110650</v>
      </c>
      <c r="Q245" s="67">
        <v>0.4</v>
      </c>
      <c r="R245" s="66">
        <v>44260</v>
      </c>
      <c r="S245" s="66">
        <v>154911</v>
      </c>
      <c r="T245" s="106">
        <f>IF(A245="Upgrade",IF(OR(H245=4,H245=5),_xlfn.XLOOKUP(I245,'Renewal Rates'!$A$22:$A$27,'Renewal Rates'!$B$22:$B$27,'Renewal Rates'!$B$27,0),'Renewal Rates'!$F$7),IF(A245="Renewal",100%,0%))</f>
        <v>0.7</v>
      </c>
      <c r="U245" s="68">
        <f t="shared" si="3"/>
        <v>108437.7</v>
      </c>
    </row>
    <row r="246" spans="1:21" s="41" customFormat="1" ht="13.8" x14ac:dyDescent="0.3">
      <c r="A246" s="115" t="s">
        <v>21</v>
      </c>
      <c r="B246" s="116">
        <v>2000147440</v>
      </c>
      <c r="C246" s="116">
        <v>8.0069999999999997</v>
      </c>
      <c r="D246" s="117">
        <v>28.7</v>
      </c>
      <c r="E246" s="117"/>
      <c r="F246" s="117">
        <v>225</v>
      </c>
      <c r="G246" s="117">
        <v>450</v>
      </c>
      <c r="H246" s="123"/>
      <c r="I246" s="117" t="s">
        <v>122</v>
      </c>
      <c r="J246" s="115">
        <v>368</v>
      </c>
      <c r="K246" s="115" t="s">
        <v>23</v>
      </c>
      <c r="L246" s="117" t="s">
        <v>24</v>
      </c>
      <c r="M246" s="66">
        <v>84306</v>
      </c>
      <c r="N246" s="66">
        <v>2934</v>
      </c>
      <c r="O246" s="66">
        <v>28664</v>
      </c>
      <c r="P246" s="66">
        <v>112971</v>
      </c>
      <c r="Q246" s="67">
        <v>0.4</v>
      </c>
      <c r="R246" s="66">
        <v>45188</v>
      </c>
      <c r="S246" s="66">
        <v>158159</v>
      </c>
      <c r="T246" s="106">
        <f>IF(A246="Upgrade",IF(OR(H246=4,H246=5),_xlfn.XLOOKUP(I246,'Renewal Rates'!$A$22:$A$27,'Renewal Rates'!$B$22:$B$27,'Renewal Rates'!$B$27,0),'Renewal Rates'!$F$7),IF(A246="Renewal",100%,0%))</f>
        <v>2.6599999999999999E-2</v>
      </c>
      <c r="U246" s="68">
        <f t="shared" si="3"/>
        <v>4207.0293999999994</v>
      </c>
    </row>
    <row r="247" spans="1:21" s="41" customFormat="1" ht="13.8" x14ac:dyDescent="0.3">
      <c r="A247" s="115" t="s">
        <v>21</v>
      </c>
      <c r="B247" s="116">
        <v>2000514504</v>
      </c>
      <c r="C247" s="116">
        <v>8.0069999999999997</v>
      </c>
      <c r="D247" s="117">
        <v>36.5</v>
      </c>
      <c r="E247" s="117"/>
      <c r="F247" s="117">
        <v>225</v>
      </c>
      <c r="G247" s="117">
        <v>450</v>
      </c>
      <c r="H247" s="123"/>
      <c r="I247" s="117" t="s">
        <v>122</v>
      </c>
      <c r="J247" s="115">
        <v>368</v>
      </c>
      <c r="K247" s="115" t="s">
        <v>23</v>
      </c>
      <c r="L247" s="117" t="s">
        <v>24</v>
      </c>
      <c r="M247" s="66">
        <v>109287</v>
      </c>
      <c r="N247" s="66">
        <v>2994</v>
      </c>
      <c r="O247" s="66">
        <v>37158</v>
      </c>
      <c r="P247" s="66">
        <v>146445</v>
      </c>
      <c r="Q247" s="67">
        <v>0.4</v>
      </c>
      <c r="R247" s="66">
        <v>58578</v>
      </c>
      <c r="S247" s="66">
        <v>205023</v>
      </c>
      <c r="T247" s="106">
        <f>IF(A247="Upgrade",IF(OR(H247=4,H247=5),_xlfn.XLOOKUP(I247,'Renewal Rates'!$A$22:$A$27,'Renewal Rates'!$B$22:$B$27,'Renewal Rates'!$B$27,0),'Renewal Rates'!$F$7),IF(A247="Renewal",100%,0%))</f>
        <v>2.6599999999999999E-2</v>
      </c>
      <c r="U247" s="68">
        <f t="shared" si="3"/>
        <v>5453.6117999999997</v>
      </c>
    </row>
    <row r="248" spans="1:21" s="41" customFormat="1" ht="13.8" x14ac:dyDescent="0.3">
      <c r="A248" s="115" t="s">
        <v>25</v>
      </c>
      <c r="B248" s="116" t="s">
        <v>22</v>
      </c>
      <c r="C248" s="116">
        <v>8.0009999999999994</v>
      </c>
      <c r="D248" s="117"/>
      <c r="E248" s="117">
        <v>152.30000000000001</v>
      </c>
      <c r="F248" s="117"/>
      <c r="G248" s="117">
        <v>450</v>
      </c>
      <c r="H248" s="123"/>
      <c r="I248" s="117" t="s">
        <v>122</v>
      </c>
      <c r="J248" s="115">
        <v>368</v>
      </c>
      <c r="K248" s="115" t="s">
        <v>23</v>
      </c>
      <c r="L248" s="117" t="s">
        <v>24</v>
      </c>
      <c r="M248" s="66">
        <v>405363</v>
      </c>
      <c r="N248" s="66">
        <v>2661</v>
      </c>
      <c r="O248" s="66">
        <v>137823</v>
      </c>
      <c r="P248" s="66">
        <v>543186</v>
      </c>
      <c r="Q248" s="67">
        <v>0.4</v>
      </c>
      <c r="R248" s="66">
        <v>217274</v>
      </c>
      <c r="S248" s="66">
        <v>760460</v>
      </c>
      <c r="T248" s="106">
        <f>IF(A248="Upgrade",IF(OR(H248=4,H248=5),_xlfn.XLOOKUP(I248,'Renewal Rates'!$A$22:$A$27,'Renewal Rates'!$B$22:$B$27,'Renewal Rates'!$B$27,0),'Renewal Rates'!$F$7),IF(A248="Renewal",100%,0%))</f>
        <v>0</v>
      </c>
      <c r="U248" s="68">
        <f t="shared" si="3"/>
        <v>0</v>
      </c>
    </row>
    <row r="249" spans="1:21" s="41" customFormat="1" ht="13.8" x14ac:dyDescent="0.3">
      <c r="A249" s="115" t="s">
        <v>21</v>
      </c>
      <c r="B249" s="116">
        <v>2000103100</v>
      </c>
      <c r="C249" s="116">
        <v>8.0120000000000005</v>
      </c>
      <c r="D249" s="117">
        <v>64.7</v>
      </c>
      <c r="E249" s="117"/>
      <c r="F249" s="117">
        <v>300</v>
      </c>
      <c r="G249" s="117">
        <v>825</v>
      </c>
      <c r="H249" s="123"/>
      <c r="I249" s="117" t="s">
        <v>122</v>
      </c>
      <c r="J249" s="115">
        <v>368</v>
      </c>
      <c r="K249" s="115" t="s">
        <v>23</v>
      </c>
      <c r="L249" s="117" t="s">
        <v>24</v>
      </c>
      <c r="M249" s="66">
        <v>307698</v>
      </c>
      <c r="N249" s="66">
        <v>4759</v>
      </c>
      <c r="O249" s="66">
        <v>104617</v>
      </c>
      <c r="P249" s="66">
        <v>412315</v>
      </c>
      <c r="Q249" s="67">
        <v>0.4</v>
      </c>
      <c r="R249" s="66">
        <v>164926</v>
      </c>
      <c r="S249" s="66">
        <v>577241</v>
      </c>
      <c r="T249" s="106">
        <f>IF(A249="Upgrade",IF(OR(H249=4,H249=5),_xlfn.XLOOKUP(I249,'Renewal Rates'!$A$22:$A$27,'Renewal Rates'!$B$22:$B$27,'Renewal Rates'!$B$27,0),'Renewal Rates'!$F$7),IF(A249="Renewal",100%,0%))</f>
        <v>2.6599999999999999E-2</v>
      </c>
      <c r="U249" s="68">
        <f t="shared" si="3"/>
        <v>15354.6106</v>
      </c>
    </row>
    <row r="250" spans="1:21" s="41" customFormat="1" ht="13.8" x14ac:dyDescent="0.3">
      <c r="A250" s="115" t="s">
        <v>21</v>
      </c>
      <c r="B250" s="116">
        <v>2000113347</v>
      </c>
      <c r="C250" s="116">
        <v>8.0109999999999992</v>
      </c>
      <c r="D250" s="117">
        <v>14.3</v>
      </c>
      <c r="E250" s="117"/>
      <c r="F250" s="117">
        <v>300</v>
      </c>
      <c r="G250" s="117">
        <v>675</v>
      </c>
      <c r="H250" s="123"/>
      <c r="I250" s="117" t="s">
        <v>122</v>
      </c>
      <c r="J250" s="115">
        <v>368</v>
      </c>
      <c r="K250" s="115" t="s">
        <v>23</v>
      </c>
      <c r="L250" s="117" t="s">
        <v>24</v>
      </c>
      <c r="M250" s="66">
        <v>86580</v>
      </c>
      <c r="N250" s="66">
        <v>6048</v>
      </c>
      <c r="O250" s="66">
        <v>29437</v>
      </c>
      <c r="P250" s="66">
        <v>116017</v>
      </c>
      <c r="Q250" s="67">
        <v>0.4</v>
      </c>
      <c r="R250" s="66">
        <v>46407</v>
      </c>
      <c r="S250" s="66">
        <v>162424</v>
      </c>
      <c r="T250" s="106">
        <f>IF(A250="Upgrade",IF(OR(H250=4,H250=5),_xlfn.XLOOKUP(I250,'Renewal Rates'!$A$22:$A$27,'Renewal Rates'!$B$22:$B$27,'Renewal Rates'!$B$27,0),'Renewal Rates'!$F$7),IF(A250="Renewal",100%,0%))</f>
        <v>2.6599999999999999E-2</v>
      </c>
      <c r="U250" s="68">
        <f t="shared" si="3"/>
        <v>4320.4784</v>
      </c>
    </row>
    <row r="251" spans="1:21" s="41" customFormat="1" ht="13.8" x14ac:dyDescent="0.3">
      <c r="A251" s="115" t="s">
        <v>21</v>
      </c>
      <c r="B251" s="116">
        <v>3000032366</v>
      </c>
      <c r="C251" s="116">
        <v>8.0109999999999992</v>
      </c>
      <c r="D251" s="117">
        <v>15.7</v>
      </c>
      <c r="E251" s="117"/>
      <c r="F251" s="117">
        <v>300</v>
      </c>
      <c r="G251" s="117">
        <v>675</v>
      </c>
      <c r="H251" s="123"/>
      <c r="I251" s="117" t="s">
        <v>122</v>
      </c>
      <c r="J251" s="115">
        <v>368</v>
      </c>
      <c r="K251" s="115" t="s">
        <v>23</v>
      </c>
      <c r="L251" s="117" t="s">
        <v>24</v>
      </c>
      <c r="M251" s="66">
        <v>111593</v>
      </c>
      <c r="N251" s="66">
        <v>7124</v>
      </c>
      <c r="O251" s="66">
        <v>37942</v>
      </c>
      <c r="P251" s="66">
        <v>149535</v>
      </c>
      <c r="Q251" s="67">
        <v>0.4</v>
      </c>
      <c r="R251" s="66">
        <v>59814</v>
      </c>
      <c r="S251" s="66">
        <v>209349</v>
      </c>
      <c r="T251" s="106">
        <f>IF(A251="Upgrade",IF(OR(H251=4,H251=5),_xlfn.XLOOKUP(I251,'Renewal Rates'!$A$22:$A$27,'Renewal Rates'!$B$22:$B$27,'Renewal Rates'!$B$27,0),'Renewal Rates'!$F$7),IF(A251="Renewal",100%,0%))</f>
        <v>2.6599999999999999E-2</v>
      </c>
      <c r="U251" s="68">
        <f t="shared" si="3"/>
        <v>5568.6833999999999</v>
      </c>
    </row>
    <row r="252" spans="1:21" s="41" customFormat="1" ht="13.8" x14ac:dyDescent="0.3">
      <c r="A252" s="115" t="s">
        <v>21</v>
      </c>
      <c r="B252" s="116">
        <v>3000032367</v>
      </c>
      <c r="C252" s="116">
        <v>8.0109999999999992</v>
      </c>
      <c r="D252" s="117">
        <v>40.299999999999997</v>
      </c>
      <c r="E252" s="117"/>
      <c r="F252" s="117">
        <v>225</v>
      </c>
      <c r="G252" s="117">
        <v>675</v>
      </c>
      <c r="H252" s="123"/>
      <c r="I252" s="117" t="s">
        <v>122</v>
      </c>
      <c r="J252" s="115">
        <v>368</v>
      </c>
      <c r="K252" s="115" t="s">
        <v>23</v>
      </c>
      <c r="L252" s="117" t="s">
        <v>24</v>
      </c>
      <c r="M252" s="66">
        <v>179965</v>
      </c>
      <c r="N252" s="66">
        <v>4464</v>
      </c>
      <c r="O252" s="66">
        <v>61188</v>
      </c>
      <c r="P252" s="66">
        <v>241154</v>
      </c>
      <c r="Q252" s="67">
        <v>0.4</v>
      </c>
      <c r="R252" s="66">
        <v>96461</v>
      </c>
      <c r="S252" s="66">
        <v>337615</v>
      </c>
      <c r="T252" s="106">
        <f>IF(A252="Upgrade",IF(OR(H252=4,H252=5),_xlfn.XLOOKUP(I252,'Renewal Rates'!$A$22:$A$27,'Renewal Rates'!$B$22:$B$27,'Renewal Rates'!$B$27,0),'Renewal Rates'!$F$7),IF(A252="Renewal",100%,0%))</f>
        <v>2.6599999999999999E-2</v>
      </c>
      <c r="U252" s="68">
        <f t="shared" si="3"/>
        <v>8980.5589999999993</v>
      </c>
    </row>
    <row r="253" spans="1:21" s="41" customFormat="1" ht="13.8" x14ac:dyDescent="0.3">
      <c r="A253" s="115" t="s">
        <v>21</v>
      </c>
      <c r="B253" s="116">
        <v>2000347154</v>
      </c>
      <c r="C253" s="116">
        <v>8.02</v>
      </c>
      <c r="D253" s="117">
        <v>47.9</v>
      </c>
      <c r="E253" s="117"/>
      <c r="F253" s="117">
        <v>600</v>
      </c>
      <c r="G253" s="117">
        <v>975</v>
      </c>
      <c r="H253" s="123">
        <v>4</v>
      </c>
      <c r="I253" s="117">
        <v>2</v>
      </c>
      <c r="J253" s="115">
        <v>368</v>
      </c>
      <c r="K253" s="115" t="s">
        <v>23</v>
      </c>
      <c r="L253" s="117" t="s">
        <v>24</v>
      </c>
      <c r="M253" s="66">
        <v>292052</v>
      </c>
      <c r="N253" s="66">
        <v>6093</v>
      </c>
      <c r="O253" s="66">
        <v>99298</v>
      </c>
      <c r="P253" s="66">
        <v>391349</v>
      </c>
      <c r="Q253" s="67">
        <v>0.4</v>
      </c>
      <c r="R253" s="66">
        <v>156540</v>
      </c>
      <c r="S253" s="66">
        <v>547889</v>
      </c>
      <c r="T253" s="106">
        <f>IF(A253="Upgrade",IF(OR(H253=4,H253=5),_xlfn.XLOOKUP(I253,'Renewal Rates'!$A$22:$A$27,'Renewal Rates'!$B$22:$B$27,'Renewal Rates'!$B$27,0),'Renewal Rates'!$F$7),IF(A253="Renewal",100%,0%))</f>
        <v>0</v>
      </c>
      <c r="U253" s="68">
        <f t="shared" si="3"/>
        <v>0</v>
      </c>
    </row>
    <row r="254" spans="1:21" s="41" customFormat="1" ht="13.8" x14ac:dyDescent="0.3">
      <c r="A254" s="115" t="s">
        <v>21</v>
      </c>
      <c r="B254" s="116">
        <v>2000428279</v>
      </c>
      <c r="C254" s="116">
        <v>8.02</v>
      </c>
      <c r="D254" s="117">
        <v>34.299999999999997</v>
      </c>
      <c r="E254" s="117"/>
      <c r="F254" s="117">
        <v>600</v>
      </c>
      <c r="G254" s="117">
        <v>975</v>
      </c>
      <c r="H254" s="123">
        <v>4</v>
      </c>
      <c r="I254" s="117">
        <v>3</v>
      </c>
      <c r="J254" s="115">
        <v>368</v>
      </c>
      <c r="K254" s="115" t="s">
        <v>23</v>
      </c>
      <c r="L254" s="117" t="s">
        <v>24</v>
      </c>
      <c r="M254" s="66">
        <v>221456</v>
      </c>
      <c r="N254" s="66">
        <v>6449</v>
      </c>
      <c r="O254" s="66">
        <v>75295</v>
      </c>
      <c r="P254" s="66">
        <v>296751</v>
      </c>
      <c r="Q254" s="67">
        <v>0.4</v>
      </c>
      <c r="R254" s="66">
        <v>118700</v>
      </c>
      <c r="S254" s="66">
        <v>415451</v>
      </c>
      <c r="T254" s="106">
        <f>IF(A254="Upgrade",IF(OR(H254=4,H254=5),_xlfn.XLOOKUP(I254,'Renewal Rates'!$A$22:$A$27,'Renewal Rates'!$B$22:$B$27,'Renewal Rates'!$B$27,0),'Renewal Rates'!$F$7),IF(A254="Renewal",100%,0%))</f>
        <v>0.21</v>
      </c>
      <c r="U254" s="68">
        <f t="shared" si="3"/>
        <v>87244.709999999992</v>
      </c>
    </row>
    <row r="255" spans="1:21" s="41" customFormat="1" ht="13.8" x14ac:dyDescent="0.3">
      <c r="A255" s="115" t="s">
        <v>21</v>
      </c>
      <c r="B255" s="116">
        <v>2000496978</v>
      </c>
      <c r="C255" s="116">
        <v>8.0190000000000001</v>
      </c>
      <c r="D255" s="117">
        <v>42.8</v>
      </c>
      <c r="E255" s="117"/>
      <c r="F255" s="117">
        <v>300</v>
      </c>
      <c r="G255" s="117">
        <v>825</v>
      </c>
      <c r="H255" s="123">
        <v>4</v>
      </c>
      <c r="I255" s="117"/>
      <c r="J255" s="115">
        <v>368</v>
      </c>
      <c r="K255" s="115" t="s">
        <v>23</v>
      </c>
      <c r="L255" s="117" t="s">
        <v>24</v>
      </c>
      <c r="M255" s="66">
        <v>192008</v>
      </c>
      <c r="N255" s="66">
        <v>4490</v>
      </c>
      <c r="O255" s="66">
        <v>65283</v>
      </c>
      <c r="P255" s="66">
        <v>257290</v>
      </c>
      <c r="Q255" s="67">
        <v>0.4</v>
      </c>
      <c r="R255" s="66">
        <v>102916</v>
      </c>
      <c r="S255" s="66">
        <v>360206</v>
      </c>
      <c r="T255" s="106">
        <f>IF(A255="Upgrade",IF(OR(H255=4,H255=5),_xlfn.XLOOKUP(I255,'Renewal Rates'!$A$22:$A$27,'Renewal Rates'!$B$22:$B$27,'Renewal Rates'!$B$27,0),'Renewal Rates'!$F$7),IF(A255="Renewal",100%,0%))</f>
        <v>0.116578</v>
      </c>
      <c r="U255" s="68">
        <f t="shared" si="3"/>
        <v>41992.095068000002</v>
      </c>
    </row>
    <row r="256" spans="1:21" s="41" customFormat="1" ht="13.8" x14ac:dyDescent="0.3">
      <c r="A256" s="115" t="s">
        <v>21</v>
      </c>
      <c r="B256" s="116">
        <v>2000540447</v>
      </c>
      <c r="C256" s="116">
        <v>8.0190000000000001</v>
      </c>
      <c r="D256" s="117">
        <v>27.8</v>
      </c>
      <c r="E256" s="117"/>
      <c r="F256" s="117">
        <v>450</v>
      </c>
      <c r="G256" s="117">
        <v>825</v>
      </c>
      <c r="H256" s="123"/>
      <c r="I256" s="117" t="s">
        <v>122</v>
      </c>
      <c r="J256" s="115">
        <v>368</v>
      </c>
      <c r="K256" s="115" t="s">
        <v>23</v>
      </c>
      <c r="L256" s="117" t="s">
        <v>24</v>
      </c>
      <c r="M256" s="66">
        <v>149813</v>
      </c>
      <c r="N256" s="66">
        <v>5382</v>
      </c>
      <c r="O256" s="66">
        <v>50936</v>
      </c>
      <c r="P256" s="66">
        <v>200749</v>
      </c>
      <c r="Q256" s="67">
        <v>0.4</v>
      </c>
      <c r="R256" s="66">
        <v>80300</v>
      </c>
      <c r="S256" s="66">
        <v>281048</v>
      </c>
      <c r="T256" s="106">
        <f>IF(A256="Upgrade",IF(OR(H256=4,H256=5),_xlfn.XLOOKUP(I256,'Renewal Rates'!$A$22:$A$27,'Renewal Rates'!$B$22:$B$27,'Renewal Rates'!$B$27,0),'Renewal Rates'!$F$7),IF(A256="Renewal",100%,0%))</f>
        <v>2.6599999999999999E-2</v>
      </c>
      <c r="U256" s="68">
        <f t="shared" si="3"/>
        <v>7475.8768</v>
      </c>
    </row>
    <row r="257" spans="1:21" s="41" customFormat="1" ht="13.8" x14ac:dyDescent="0.3">
      <c r="A257" s="115" t="s">
        <v>21</v>
      </c>
      <c r="B257" s="116">
        <v>2000743750</v>
      </c>
      <c r="C257" s="116">
        <v>8.0180000000000007</v>
      </c>
      <c r="D257" s="117">
        <v>24.1</v>
      </c>
      <c r="E257" s="117"/>
      <c r="F257" s="117">
        <v>450</v>
      </c>
      <c r="G257" s="117">
        <v>825</v>
      </c>
      <c r="H257" s="123"/>
      <c r="I257" s="117" t="s">
        <v>122</v>
      </c>
      <c r="J257" s="115">
        <v>368</v>
      </c>
      <c r="K257" s="115" t="s">
        <v>23</v>
      </c>
      <c r="L257" s="117" t="s">
        <v>24</v>
      </c>
      <c r="M257" s="66">
        <v>148011</v>
      </c>
      <c r="N257" s="66">
        <v>6154</v>
      </c>
      <c r="O257" s="66">
        <v>50324</v>
      </c>
      <c r="P257" s="66">
        <v>198335</v>
      </c>
      <c r="Q257" s="67">
        <v>0.4</v>
      </c>
      <c r="R257" s="66">
        <v>79334</v>
      </c>
      <c r="S257" s="66">
        <v>277669</v>
      </c>
      <c r="T257" s="106">
        <f>IF(A257="Upgrade",IF(OR(H257=4,H257=5),_xlfn.XLOOKUP(I257,'Renewal Rates'!$A$22:$A$27,'Renewal Rates'!$B$22:$B$27,'Renewal Rates'!$B$27,0),'Renewal Rates'!$F$7),IF(A257="Renewal",100%,0%))</f>
        <v>2.6599999999999999E-2</v>
      </c>
      <c r="U257" s="68">
        <f t="shared" si="3"/>
        <v>7385.9953999999998</v>
      </c>
    </row>
    <row r="258" spans="1:21" s="41" customFormat="1" ht="13.8" x14ac:dyDescent="0.3">
      <c r="A258" s="115" t="s">
        <v>21</v>
      </c>
      <c r="B258" s="116">
        <v>2000072973</v>
      </c>
      <c r="C258" s="116">
        <v>8.0169999999999995</v>
      </c>
      <c r="D258" s="117">
        <v>25.1</v>
      </c>
      <c r="E258" s="117"/>
      <c r="F258" s="117">
        <v>300</v>
      </c>
      <c r="G258" s="117">
        <v>450</v>
      </c>
      <c r="H258" s="123"/>
      <c r="I258" s="117" t="s">
        <v>122</v>
      </c>
      <c r="J258" s="115">
        <v>368</v>
      </c>
      <c r="K258" s="115" t="s">
        <v>23</v>
      </c>
      <c r="L258" s="117" t="s">
        <v>24</v>
      </c>
      <c r="M258" s="66">
        <v>81731</v>
      </c>
      <c r="N258" s="66">
        <v>3254</v>
      </c>
      <c r="O258" s="66">
        <v>27788</v>
      </c>
      <c r="P258" s="66">
        <v>109519</v>
      </c>
      <c r="Q258" s="67">
        <v>0.4</v>
      </c>
      <c r="R258" s="66">
        <v>43808</v>
      </c>
      <c r="S258" s="66">
        <v>153327</v>
      </c>
      <c r="T258" s="106">
        <f>IF(A258="Upgrade",IF(OR(H258=4,H258=5),_xlfn.XLOOKUP(I258,'Renewal Rates'!$A$22:$A$27,'Renewal Rates'!$B$22:$B$27,'Renewal Rates'!$B$27,0),'Renewal Rates'!$F$7),IF(A258="Renewal",100%,0%))</f>
        <v>2.6599999999999999E-2</v>
      </c>
      <c r="U258" s="68">
        <f t="shared" si="3"/>
        <v>4078.4982</v>
      </c>
    </row>
    <row r="259" spans="1:21" s="41" customFormat="1" ht="13.8" x14ac:dyDescent="0.3">
      <c r="A259" s="115" t="s">
        <v>21</v>
      </c>
      <c r="B259" s="116">
        <v>2000249802</v>
      </c>
      <c r="C259" s="116">
        <v>8.0169999999999995</v>
      </c>
      <c r="D259" s="117">
        <v>46.9</v>
      </c>
      <c r="E259" s="117"/>
      <c r="F259" s="117">
        <v>300</v>
      </c>
      <c r="G259" s="117">
        <v>450</v>
      </c>
      <c r="H259" s="123">
        <v>4</v>
      </c>
      <c r="I259" s="117">
        <v>2</v>
      </c>
      <c r="J259" s="115">
        <v>368</v>
      </c>
      <c r="K259" s="115" t="s">
        <v>23</v>
      </c>
      <c r="L259" s="117" t="s">
        <v>24</v>
      </c>
      <c r="M259" s="66">
        <v>136123</v>
      </c>
      <c r="N259" s="66">
        <v>2903</v>
      </c>
      <c r="O259" s="66">
        <v>46282</v>
      </c>
      <c r="P259" s="66">
        <v>182405</v>
      </c>
      <c r="Q259" s="67">
        <v>0.4</v>
      </c>
      <c r="R259" s="66">
        <v>72962</v>
      </c>
      <c r="S259" s="66">
        <v>255367</v>
      </c>
      <c r="T259" s="106">
        <f>IF(A259="Upgrade",IF(OR(H259=4,H259=5),_xlfn.XLOOKUP(I259,'Renewal Rates'!$A$22:$A$27,'Renewal Rates'!$B$22:$B$27,'Renewal Rates'!$B$27,0),'Renewal Rates'!$F$7),IF(A259="Renewal",100%,0%))</f>
        <v>0</v>
      </c>
      <c r="U259" s="68">
        <f t="shared" si="3"/>
        <v>0</v>
      </c>
    </row>
    <row r="260" spans="1:21" s="41" customFormat="1" ht="13.8" x14ac:dyDescent="0.3">
      <c r="A260" s="115" t="s">
        <v>21</v>
      </c>
      <c r="B260" s="116">
        <v>3000019648</v>
      </c>
      <c r="C260" s="116">
        <v>8.0169999999999995</v>
      </c>
      <c r="D260" s="117">
        <v>6.5</v>
      </c>
      <c r="E260" s="117"/>
      <c r="F260" s="117">
        <v>300</v>
      </c>
      <c r="G260" s="117">
        <v>450</v>
      </c>
      <c r="H260" s="123"/>
      <c r="I260" s="117" t="s">
        <v>122</v>
      </c>
      <c r="J260" s="115">
        <v>368</v>
      </c>
      <c r="K260" s="115" t="s">
        <v>23</v>
      </c>
      <c r="L260" s="117" t="s">
        <v>24</v>
      </c>
      <c r="M260" s="66">
        <v>49055</v>
      </c>
      <c r="N260" s="66">
        <v>7498</v>
      </c>
      <c r="O260" s="66">
        <v>16679</v>
      </c>
      <c r="P260" s="66">
        <v>65734</v>
      </c>
      <c r="Q260" s="67">
        <v>0.4</v>
      </c>
      <c r="R260" s="66">
        <v>26294</v>
      </c>
      <c r="S260" s="66">
        <v>92028</v>
      </c>
      <c r="T260" s="106">
        <f>IF(A260="Upgrade",IF(OR(H260=4,H260=5),_xlfn.XLOOKUP(I260,'Renewal Rates'!$A$22:$A$27,'Renewal Rates'!$B$22:$B$27,'Renewal Rates'!$B$27,0),'Renewal Rates'!$F$7),IF(A260="Renewal",100%,0%))</f>
        <v>2.6599999999999999E-2</v>
      </c>
      <c r="U260" s="68">
        <f t="shared" ref="U260:U323" si="4">S260*T260</f>
        <v>2447.9447999999998</v>
      </c>
    </row>
    <row r="261" spans="1:21" s="41" customFormat="1" ht="13.8" x14ac:dyDescent="0.3">
      <c r="A261" s="115" t="s">
        <v>21</v>
      </c>
      <c r="B261" s="116">
        <v>2000105254</v>
      </c>
      <c r="C261" s="116">
        <v>8.016</v>
      </c>
      <c r="D261" s="117">
        <v>67.400000000000006</v>
      </c>
      <c r="E261" s="117"/>
      <c r="F261" s="117">
        <v>300</v>
      </c>
      <c r="G261" s="117">
        <v>675</v>
      </c>
      <c r="H261" s="123">
        <v>4</v>
      </c>
      <c r="I261" s="117">
        <v>2</v>
      </c>
      <c r="J261" s="115">
        <v>368</v>
      </c>
      <c r="K261" s="115" t="s">
        <v>23</v>
      </c>
      <c r="L261" s="117" t="s">
        <v>24</v>
      </c>
      <c r="M261" s="66">
        <v>272282</v>
      </c>
      <c r="N261" s="66">
        <v>4038</v>
      </c>
      <c r="O261" s="66">
        <v>92576</v>
      </c>
      <c r="P261" s="66">
        <v>364858</v>
      </c>
      <c r="Q261" s="67">
        <v>0.4</v>
      </c>
      <c r="R261" s="66">
        <v>145943</v>
      </c>
      <c r="S261" s="66">
        <v>510801</v>
      </c>
      <c r="T261" s="106">
        <f>IF(A261="Upgrade",IF(OR(H261=4,H261=5),_xlfn.XLOOKUP(I261,'Renewal Rates'!$A$22:$A$27,'Renewal Rates'!$B$22:$B$27,'Renewal Rates'!$B$27,0),'Renewal Rates'!$F$7),IF(A261="Renewal",100%,0%))</f>
        <v>0</v>
      </c>
      <c r="U261" s="68">
        <f t="shared" si="4"/>
        <v>0</v>
      </c>
    </row>
    <row r="262" spans="1:21" s="41" customFormat="1" ht="13.8" x14ac:dyDescent="0.3">
      <c r="A262" s="115" t="s">
        <v>21</v>
      </c>
      <c r="B262" s="116">
        <v>2000822636</v>
      </c>
      <c r="C262" s="116">
        <v>8.016</v>
      </c>
      <c r="D262" s="117">
        <v>26.8</v>
      </c>
      <c r="E262" s="117"/>
      <c r="F262" s="117">
        <v>300</v>
      </c>
      <c r="G262" s="117">
        <v>675</v>
      </c>
      <c r="H262" s="123"/>
      <c r="I262" s="117" t="s">
        <v>122</v>
      </c>
      <c r="J262" s="115">
        <v>368</v>
      </c>
      <c r="K262" s="115" t="s">
        <v>23</v>
      </c>
      <c r="L262" s="117" t="s">
        <v>24</v>
      </c>
      <c r="M262" s="66">
        <v>120996</v>
      </c>
      <c r="N262" s="66">
        <v>4509</v>
      </c>
      <c r="O262" s="66">
        <v>41139</v>
      </c>
      <c r="P262" s="66">
        <v>162134</v>
      </c>
      <c r="Q262" s="67">
        <v>0.4</v>
      </c>
      <c r="R262" s="66">
        <v>64854</v>
      </c>
      <c r="S262" s="66">
        <v>226988</v>
      </c>
      <c r="T262" s="106">
        <f>IF(A262="Upgrade",IF(OR(H262=4,H262=5),_xlfn.XLOOKUP(I262,'Renewal Rates'!$A$22:$A$27,'Renewal Rates'!$B$22:$B$27,'Renewal Rates'!$B$27,0),'Renewal Rates'!$F$7),IF(A262="Renewal",100%,0%))</f>
        <v>2.6599999999999999E-2</v>
      </c>
      <c r="U262" s="68">
        <f t="shared" si="4"/>
        <v>6037.8807999999999</v>
      </c>
    </row>
    <row r="263" spans="1:21" s="41" customFormat="1" ht="13.8" x14ac:dyDescent="0.3">
      <c r="A263" s="115" t="s">
        <v>21</v>
      </c>
      <c r="B263" s="116">
        <v>2000857450</v>
      </c>
      <c r="C263" s="116">
        <v>8.016</v>
      </c>
      <c r="D263" s="117">
        <v>40.700000000000003</v>
      </c>
      <c r="E263" s="117"/>
      <c r="F263" s="117">
        <v>225</v>
      </c>
      <c r="G263" s="117">
        <v>675</v>
      </c>
      <c r="H263" s="123"/>
      <c r="I263" s="117" t="s">
        <v>122</v>
      </c>
      <c r="J263" s="115">
        <v>368</v>
      </c>
      <c r="K263" s="115" t="s">
        <v>23</v>
      </c>
      <c r="L263" s="117" t="s">
        <v>24</v>
      </c>
      <c r="M263" s="66">
        <v>157049</v>
      </c>
      <c r="N263" s="66">
        <v>3857</v>
      </c>
      <c r="O263" s="66">
        <v>53397</v>
      </c>
      <c r="P263" s="66">
        <v>210446</v>
      </c>
      <c r="Q263" s="67">
        <v>0.4</v>
      </c>
      <c r="R263" s="66">
        <v>84178</v>
      </c>
      <c r="S263" s="66">
        <v>294625</v>
      </c>
      <c r="T263" s="106">
        <f>IF(A263="Upgrade",IF(OR(H263=4,H263=5),_xlfn.XLOOKUP(I263,'Renewal Rates'!$A$22:$A$27,'Renewal Rates'!$B$22:$B$27,'Renewal Rates'!$B$27,0),'Renewal Rates'!$F$7),IF(A263="Renewal",100%,0%))</f>
        <v>2.6599999999999999E-2</v>
      </c>
      <c r="U263" s="68">
        <f t="shared" si="4"/>
        <v>7837.0249999999996</v>
      </c>
    </row>
    <row r="264" spans="1:21" s="41" customFormat="1" ht="13.8" x14ac:dyDescent="0.3">
      <c r="A264" s="115" t="s">
        <v>25</v>
      </c>
      <c r="B264" s="116" t="s">
        <v>22</v>
      </c>
      <c r="C264" s="116">
        <v>8.0030000000000001</v>
      </c>
      <c r="D264" s="117"/>
      <c r="E264" s="117">
        <v>77.099999999999994</v>
      </c>
      <c r="F264" s="117"/>
      <c r="G264" s="117">
        <v>525</v>
      </c>
      <c r="H264" s="123"/>
      <c r="I264" s="117" t="s">
        <v>122</v>
      </c>
      <c r="J264" s="115">
        <v>368</v>
      </c>
      <c r="K264" s="115" t="s">
        <v>23</v>
      </c>
      <c r="L264" s="117" t="s">
        <v>24</v>
      </c>
      <c r="M264" s="66">
        <v>243646</v>
      </c>
      <c r="N264" s="66">
        <v>3161</v>
      </c>
      <c r="O264" s="66">
        <v>82840</v>
      </c>
      <c r="P264" s="66">
        <v>326485</v>
      </c>
      <c r="Q264" s="67">
        <v>0.4</v>
      </c>
      <c r="R264" s="66">
        <v>130594</v>
      </c>
      <c r="S264" s="66">
        <v>457079</v>
      </c>
      <c r="T264" s="106">
        <f>IF(A264="Upgrade",IF(OR(H264=4,H264=5),_xlfn.XLOOKUP(I264,'Renewal Rates'!$A$22:$A$27,'Renewal Rates'!$B$22:$B$27,'Renewal Rates'!$B$27,0),'Renewal Rates'!$F$7),IF(A264="Renewal",100%,0%))</f>
        <v>0</v>
      </c>
      <c r="U264" s="68">
        <f t="shared" si="4"/>
        <v>0</v>
      </c>
    </row>
    <row r="265" spans="1:21" s="41" customFormat="1" ht="13.8" x14ac:dyDescent="0.3">
      <c r="A265" s="115" t="s">
        <v>21</v>
      </c>
      <c r="B265" s="116">
        <v>2000870621</v>
      </c>
      <c r="C265" s="116">
        <v>8.0250000000000004</v>
      </c>
      <c r="D265" s="117">
        <v>8.4</v>
      </c>
      <c r="E265" s="117"/>
      <c r="F265" s="117">
        <v>300</v>
      </c>
      <c r="G265" s="117">
        <v>450</v>
      </c>
      <c r="H265" s="123"/>
      <c r="I265" s="117" t="s">
        <v>122</v>
      </c>
      <c r="J265" s="115">
        <v>368</v>
      </c>
      <c r="K265" s="115" t="s">
        <v>23</v>
      </c>
      <c r="L265" s="117" t="s">
        <v>24</v>
      </c>
      <c r="M265" s="66">
        <v>66755</v>
      </c>
      <c r="N265" s="66">
        <v>7952</v>
      </c>
      <c r="O265" s="66">
        <v>22697</v>
      </c>
      <c r="P265" s="66">
        <v>89452</v>
      </c>
      <c r="Q265" s="67">
        <v>0.4</v>
      </c>
      <c r="R265" s="66">
        <v>35781</v>
      </c>
      <c r="S265" s="66">
        <v>125233</v>
      </c>
      <c r="T265" s="106">
        <f>IF(A265="Upgrade",IF(OR(H265=4,H265=5),_xlfn.XLOOKUP(I265,'Renewal Rates'!$A$22:$A$27,'Renewal Rates'!$B$22:$B$27,'Renewal Rates'!$B$27,0),'Renewal Rates'!$F$7),IF(A265="Renewal",100%,0%))</f>
        <v>2.6599999999999999E-2</v>
      </c>
      <c r="U265" s="68">
        <f t="shared" si="4"/>
        <v>3331.1977999999999</v>
      </c>
    </row>
    <row r="266" spans="1:21" s="41" customFormat="1" ht="13.8" x14ac:dyDescent="0.3">
      <c r="A266" s="115" t="s">
        <v>21</v>
      </c>
      <c r="B266" s="116">
        <v>2000682376</v>
      </c>
      <c r="C266" s="116">
        <v>8.0250000000000004</v>
      </c>
      <c r="D266" s="117">
        <v>25.7</v>
      </c>
      <c r="E266" s="117"/>
      <c r="F266" s="117">
        <v>300</v>
      </c>
      <c r="G266" s="117">
        <v>450</v>
      </c>
      <c r="H266" s="123"/>
      <c r="I266" s="117" t="s">
        <v>122</v>
      </c>
      <c r="J266" s="115">
        <v>368</v>
      </c>
      <c r="K266" s="115" t="s">
        <v>23</v>
      </c>
      <c r="L266" s="117" t="s">
        <v>24</v>
      </c>
      <c r="M266" s="66">
        <v>82125</v>
      </c>
      <c r="N266" s="66">
        <v>3199</v>
      </c>
      <c r="O266" s="66">
        <v>27923</v>
      </c>
      <c r="P266" s="66">
        <v>110048</v>
      </c>
      <c r="Q266" s="67">
        <v>0.4</v>
      </c>
      <c r="R266" s="66">
        <v>44019</v>
      </c>
      <c r="S266" s="66">
        <v>154067</v>
      </c>
      <c r="T266" s="106">
        <f>IF(A266="Upgrade",IF(OR(H266=4,H266=5),_xlfn.XLOOKUP(I266,'Renewal Rates'!$A$22:$A$27,'Renewal Rates'!$B$22:$B$27,'Renewal Rates'!$B$27,0),'Renewal Rates'!$F$7),IF(A266="Renewal",100%,0%))</f>
        <v>2.6599999999999999E-2</v>
      </c>
      <c r="U266" s="68">
        <f t="shared" si="4"/>
        <v>4098.1822000000002</v>
      </c>
    </row>
    <row r="267" spans="1:21" s="41" customFormat="1" ht="13.8" x14ac:dyDescent="0.3">
      <c r="A267" s="115" t="s">
        <v>21</v>
      </c>
      <c r="B267" s="116">
        <v>2000892807</v>
      </c>
      <c r="C267" s="116">
        <v>8.0239999999999991</v>
      </c>
      <c r="D267" s="117">
        <v>67.8</v>
      </c>
      <c r="E267" s="117"/>
      <c r="F267" s="117">
        <v>225</v>
      </c>
      <c r="G267" s="117">
        <v>525</v>
      </c>
      <c r="H267" s="123"/>
      <c r="I267" s="117" t="s">
        <v>122</v>
      </c>
      <c r="J267" s="115">
        <v>368</v>
      </c>
      <c r="K267" s="115" t="s">
        <v>23</v>
      </c>
      <c r="L267" s="117" t="s">
        <v>24</v>
      </c>
      <c r="M267" s="66">
        <v>219195</v>
      </c>
      <c r="N267" s="66">
        <v>3232</v>
      </c>
      <c r="O267" s="66">
        <v>74526</v>
      </c>
      <c r="P267" s="66">
        <v>293721</v>
      </c>
      <c r="Q267" s="67">
        <v>0.4</v>
      </c>
      <c r="R267" s="66">
        <v>117488</v>
      </c>
      <c r="S267" s="66">
        <v>411209</v>
      </c>
      <c r="T267" s="106">
        <f>IF(A267="Upgrade",IF(OR(H267=4,H267=5),_xlfn.XLOOKUP(I267,'Renewal Rates'!$A$22:$A$27,'Renewal Rates'!$B$22:$B$27,'Renewal Rates'!$B$27,0),'Renewal Rates'!$F$7),IF(A267="Renewal",100%,0%))</f>
        <v>2.6599999999999999E-2</v>
      </c>
      <c r="U267" s="68">
        <f t="shared" si="4"/>
        <v>10938.159399999999</v>
      </c>
    </row>
    <row r="268" spans="1:21" s="41" customFormat="1" ht="13.8" x14ac:dyDescent="0.3">
      <c r="A268" s="115" t="s">
        <v>25</v>
      </c>
      <c r="B268" s="116" t="s">
        <v>22</v>
      </c>
      <c r="C268" s="116">
        <v>8.0020000000000007</v>
      </c>
      <c r="D268" s="117"/>
      <c r="E268" s="117">
        <v>31.2</v>
      </c>
      <c r="F268" s="117"/>
      <c r="G268" s="117">
        <v>300</v>
      </c>
      <c r="H268" s="123"/>
      <c r="I268" s="117" t="s">
        <v>122</v>
      </c>
      <c r="J268" s="115">
        <v>368</v>
      </c>
      <c r="K268" s="115" t="s">
        <v>23</v>
      </c>
      <c r="L268" s="117" t="s">
        <v>24</v>
      </c>
      <c r="M268" s="66">
        <v>67483</v>
      </c>
      <c r="N268" s="66">
        <v>2162</v>
      </c>
      <c r="O268" s="66">
        <v>22944</v>
      </c>
      <c r="P268" s="66">
        <v>90427</v>
      </c>
      <c r="Q268" s="67">
        <v>0.4</v>
      </c>
      <c r="R268" s="66">
        <v>36171</v>
      </c>
      <c r="S268" s="66">
        <v>126597</v>
      </c>
      <c r="T268" s="106">
        <f>IF(A268="Upgrade",IF(OR(H268=4,H268=5),_xlfn.XLOOKUP(I268,'Renewal Rates'!$A$22:$A$27,'Renewal Rates'!$B$22:$B$27,'Renewal Rates'!$B$27,0),'Renewal Rates'!$F$7),IF(A268="Renewal",100%,0%))</f>
        <v>0</v>
      </c>
      <c r="U268" s="68">
        <f t="shared" si="4"/>
        <v>0</v>
      </c>
    </row>
    <row r="269" spans="1:21" s="41" customFormat="1" ht="13.8" x14ac:dyDescent="0.3">
      <c r="A269" s="115" t="s">
        <v>21</v>
      </c>
      <c r="B269" s="116">
        <v>2000095148</v>
      </c>
      <c r="C269" s="116">
        <v>7.0010000000000003</v>
      </c>
      <c r="D269" s="117">
        <v>23.4</v>
      </c>
      <c r="E269" s="117"/>
      <c r="F269" s="117">
        <v>225</v>
      </c>
      <c r="G269" s="117">
        <v>675</v>
      </c>
      <c r="H269" s="123"/>
      <c r="I269" s="117" t="s">
        <v>122</v>
      </c>
      <c r="J269" s="115">
        <v>375</v>
      </c>
      <c r="K269" s="115" t="s">
        <v>23</v>
      </c>
      <c r="L269" s="117" t="s">
        <v>24</v>
      </c>
      <c r="M269" s="66">
        <v>140242</v>
      </c>
      <c r="N269" s="66">
        <v>6003</v>
      </c>
      <c r="O269" s="66">
        <v>47682</v>
      </c>
      <c r="P269" s="66">
        <v>187924</v>
      </c>
      <c r="Q269" s="67">
        <v>0.4</v>
      </c>
      <c r="R269" s="66">
        <v>75170</v>
      </c>
      <c r="S269" s="66">
        <v>263094</v>
      </c>
      <c r="T269" s="106">
        <f>IF(A269="Upgrade",IF(OR(H269=4,H269=5),_xlfn.XLOOKUP(I269,'Renewal Rates'!$A$22:$A$27,'Renewal Rates'!$B$22:$B$27,'Renewal Rates'!$B$27,0),'Renewal Rates'!$F$7),IF(A269="Renewal",100%,0%))</f>
        <v>2.6599999999999999E-2</v>
      </c>
      <c r="U269" s="68">
        <f t="shared" si="4"/>
        <v>6998.3004000000001</v>
      </c>
    </row>
    <row r="270" spans="1:21" s="41" customFormat="1" ht="13.8" x14ac:dyDescent="0.3">
      <c r="A270" s="115" t="s">
        <v>21</v>
      </c>
      <c r="B270" s="116">
        <v>2000805661</v>
      </c>
      <c r="C270" s="116">
        <v>7.0010000000000003</v>
      </c>
      <c r="D270" s="117">
        <v>39.700000000000003</v>
      </c>
      <c r="E270" s="117"/>
      <c r="F270" s="117">
        <v>225</v>
      </c>
      <c r="G270" s="117">
        <v>675</v>
      </c>
      <c r="H270" s="123"/>
      <c r="I270" s="117" t="s">
        <v>122</v>
      </c>
      <c r="J270" s="115">
        <v>375</v>
      </c>
      <c r="K270" s="115" t="s">
        <v>23</v>
      </c>
      <c r="L270" s="117" t="s">
        <v>24</v>
      </c>
      <c r="M270" s="66">
        <v>155842</v>
      </c>
      <c r="N270" s="66">
        <v>3924</v>
      </c>
      <c r="O270" s="66">
        <v>52986</v>
      </c>
      <c r="P270" s="66">
        <v>208829</v>
      </c>
      <c r="Q270" s="67">
        <v>0.4</v>
      </c>
      <c r="R270" s="66">
        <v>83531</v>
      </c>
      <c r="S270" s="66">
        <v>292360</v>
      </c>
      <c r="T270" s="106">
        <f>IF(A270="Upgrade",IF(OR(H270=4,H270=5),_xlfn.XLOOKUP(I270,'Renewal Rates'!$A$22:$A$27,'Renewal Rates'!$B$22:$B$27,'Renewal Rates'!$B$27,0),'Renewal Rates'!$F$7),IF(A270="Renewal",100%,0%))</f>
        <v>2.6599999999999999E-2</v>
      </c>
      <c r="U270" s="68">
        <f t="shared" si="4"/>
        <v>7776.7759999999998</v>
      </c>
    </row>
    <row r="271" spans="1:21" s="41" customFormat="1" ht="13.8" x14ac:dyDescent="0.3">
      <c r="A271" s="115" t="s">
        <v>21</v>
      </c>
      <c r="B271" s="116">
        <v>2000740720</v>
      </c>
      <c r="C271" s="116">
        <v>7.0010000000000003</v>
      </c>
      <c r="D271" s="117">
        <v>82.9</v>
      </c>
      <c r="E271" s="117"/>
      <c r="F271" s="117">
        <v>225</v>
      </c>
      <c r="G271" s="117">
        <v>675</v>
      </c>
      <c r="H271" s="123"/>
      <c r="I271" s="117" t="s">
        <v>122</v>
      </c>
      <c r="J271" s="115">
        <v>375</v>
      </c>
      <c r="K271" s="115" t="s">
        <v>23</v>
      </c>
      <c r="L271" s="117" t="s">
        <v>24</v>
      </c>
      <c r="M271" s="66">
        <v>310247</v>
      </c>
      <c r="N271" s="66">
        <v>3741</v>
      </c>
      <c r="O271" s="66">
        <v>105484</v>
      </c>
      <c r="P271" s="66">
        <v>415730</v>
      </c>
      <c r="Q271" s="67">
        <v>0.4</v>
      </c>
      <c r="R271" s="66">
        <v>166292</v>
      </c>
      <c r="S271" s="66">
        <v>582023</v>
      </c>
      <c r="T271" s="106">
        <f>IF(A271="Upgrade",IF(OR(H271=4,H271=5),_xlfn.XLOOKUP(I271,'Renewal Rates'!$A$22:$A$27,'Renewal Rates'!$B$22:$B$27,'Renewal Rates'!$B$27,0),'Renewal Rates'!$F$7),IF(A271="Renewal",100%,0%))</f>
        <v>2.6599999999999999E-2</v>
      </c>
      <c r="U271" s="68">
        <f t="shared" si="4"/>
        <v>15481.811799999999</v>
      </c>
    </row>
    <row r="272" spans="1:21" s="41" customFormat="1" ht="13.8" x14ac:dyDescent="0.3">
      <c r="A272" s="115" t="s">
        <v>21</v>
      </c>
      <c r="B272" s="116">
        <v>2000460577</v>
      </c>
      <c r="C272" s="116">
        <v>9.0090000000000003</v>
      </c>
      <c r="D272" s="117">
        <v>15.4</v>
      </c>
      <c r="E272" s="117"/>
      <c r="F272" s="117">
        <v>900</v>
      </c>
      <c r="G272" s="117">
        <v>1275</v>
      </c>
      <c r="H272" s="123">
        <v>4</v>
      </c>
      <c r="I272" s="117">
        <v>3</v>
      </c>
      <c r="J272" s="115">
        <v>375</v>
      </c>
      <c r="K272" s="115" t="s">
        <v>23</v>
      </c>
      <c r="L272" s="117" t="s">
        <v>24</v>
      </c>
      <c r="M272" s="66">
        <v>110404</v>
      </c>
      <c r="N272" s="66">
        <v>7182</v>
      </c>
      <c r="O272" s="66">
        <v>37537</v>
      </c>
      <c r="P272" s="66">
        <v>147942</v>
      </c>
      <c r="Q272" s="67">
        <v>0.4</v>
      </c>
      <c r="R272" s="66">
        <v>59177</v>
      </c>
      <c r="S272" s="66">
        <v>207119</v>
      </c>
      <c r="T272" s="106">
        <f>IF(A272="Upgrade",IF(OR(H272=4,H272=5),_xlfn.XLOOKUP(I272,'Renewal Rates'!$A$22:$A$27,'Renewal Rates'!$B$22:$B$27,'Renewal Rates'!$B$27,0),'Renewal Rates'!$F$7),IF(A272="Renewal",100%,0%))</f>
        <v>0.21</v>
      </c>
      <c r="U272" s="68">
        <f t="shared" si="4"/>
        <v>43494.99</v>
      </c>
    </row>
    <row r="273" spans="1:21" s="41" customFormat="1" ht="13.8" x14ac:dyDescent="0.3">
      <c r="A273" s="115" t="s">
        <v>21</v>
      </c>
      <c r="B273" s="116">
        <v>2000280103</v>
      </c>
      <c r="C273" s="116">
        <v>9.0090000000000003</v>
      </c>
      <c r="D273" s="117">
        <v>29.1</v>
      </c>
      <c r="E273" s="117"/>
      <c r="F273" s="117">
        <v>750</v>
      </c>
      <c r="G273" s="117">
        <v>1275</v>
      </c>
      <c r="H273" s="123">
        <v>4</v>
      </c>
      <c r="I273" s="117">
        <v>3</v>
      </c>
      <c r="J273" s="115">
        <v>375</v>
      </c>
      <c r="K273" s="115" t="s">
        <v>23</v>
      </c>
      <c r="L273" s="117" t="s">
        <v>24</v>
      </c>
      <c r="M273" s="66">
        <v>213122</v>
      </c>
      <c r="N273" s="66">
        <v>7332</v>
      </c>
      <c r="O273" s="66">
        <v>72462</v>
      </c>
      <c r="P273" s="66">
        <v>285584</v>
      </c>
      <c r="Q273" s="67">
        <v>0.4</v>
      </c>
      <c r="R273" s="66">
        <v>114234</v>
      </c>
      <c r="S273" s="66">
        <v>399818</v>
      </c>
      <c r="T273" s="106">
        <f>IF(A273="Upgrade",IF(OR(H273=4,H273=5),_xlfn.XLOOKUP(I273,'Renewal Rates'!$A$22:$A$27,'Renewal Rates'!$B$22:$B$27,'Renewal Rates'!$B$27,0),'Renewal Rates'!$F$7),IF(A273="Renewal",100%,0%))</f>
        <v>0.21</v>
      </c>
      <c r="U273" s="68">
        <f t="shared" si="4"/>
        <v>83961.78</v>
      </c>
    </row>
    <row r="274" spans="1:21" s="41" customFormat="1" ht="13.8" x14ac:dyDescent="0.3">
      <c r="A274" s="115" t="s">
        <v>21</v>
      </c>
      <c r="B274" s="116">
        <v>2000660300</v>
      </c>
      <c r="C274" s="116">
        <v>9.0090000000000003</v>
      </c>
      <c r="D274" s="117">
        <v>69.8</v>
      </c>
      <c r="E274" s="117"/>
      <c r="F274" s="117">
        <v>750</v>
      </c>
      <c r="G274" s="117">
        <v>1275</v>
      </c>
      <c r="H274" s="123"/>
      <c r="I274" s="117" t="s">
        <v>122</v>
      </c>
      <c r="J274" s="115">
        <v>375</v>
      </c>
      <c r="K274" s="115" t="s">
        <v>23</v>
      </c>
      <c r="L274" s="117" t="s">
        <v>24</v>
      </c>
      <c r="M274" s="66">
        <v>472805</v>
      </c>
      <c r="N274" s="66">
        <v>6775</v>
      </c>
      <c r="O274" s="66">
        <v>160754</v>
      </c>
      <c r="P274" s="66">
        <v>633559</v>
      </c>
      <c r="Q274" s="67">
        <v>0.4</v>
      </c>
      <c r="R274" s="66">
        <v>253424</v>
      </c>
      <c r="S274" s="66">
        <v>886983</v>
      </c>
      <c r="T274" s="106">
        <f>IF(A274="Upgrade",IF(OR(H274=4,H274=5),_xlfn.XLOOKUP(I274,'Renewal Rates'!$A$22:$A$27,'Renewal Rates'!$B$22:$B$27,'Renewal Rates'!$B$27,0),'Renewal Rates'!$F$7),IF(A274="Renewal",100%,0%))</f>
        <v>2.6599999999999999E-2</v>
      </c>
      <c r="U274" s="68">
        <f t="shared" si="4"/>
        <v>23593.747799999997</v>
      </c>
    </row>
    <row r="275" spans="1:21" s="41" customFormat="1" ht="13.8" x14ac:dyDescent="0.3">
      <c r="A275" s="115" t="s">
        <v>21</v>
      </c>
      <c r="B275" s="116">
        <v>2000786343</v>
      </c>
      <c r="C275" s="116">
        <v>9.0079999999999991</v>
      </c>
      <c r="D275" s="117">
        <v>88.7</v>
      </c>
      <c r="E275" s="117"/>
      <c r="F275" s="117">
        <v>450</v>
      </c>
      <c r="G275" s="117">
        <v>900</v>
      </c>
      <c r="H275" s="123"/>
      <c r="I275" s="117" t="s">
        <v>122</v>
      </c>
      <c r="J275" s="115">
        <v>368</v>
      </c>
      <c r="K275" s="115" t="s">
        <v>23</v>
      </c>
      <c r="L275" s="117" t="s">
        <v>24</v>
      </c>
      <c r="M275" s="66">
        <v>474835</v>
      </c>
      <c r="N275" s="66">
        <v>5352</v>
      </c>
      <c r="O275" s="66">
        <v>161444</v>
      </c>
      <c r="P275" s="66">
        <v>636279</v>
      </c>
      <c r="Q275" s="67">
        <v>0.4</v>
      </c>
      <c r="R275" s="66">
        <v>254511</v>
      </c>
      <c r="S275" s="66">
        <v>890790</v>
      </c>
      <c r="T275" s="106">
        <f>IF(A275="Upgrade",IF(OR(H275=4,H275=5),_xlfn.XLOOKUP(I275,'Renewal Rates'!$A$22:$A$27,'Renewal Rates'!$B$22:$B$27,'Renewal Rates'!$B$27,0),'Renewal Rates'!$F$7),IF(A275="Renewal",100%,0%))</f>
        <v>2.6599999999999999E-2</v>
      </c>
      <c r="U275" s="68">
        <f t="shared" si="4"/>
        <v>23695.013999999999</v>
      </c>
    </row>
    <row r="276" spans="1:21" s="41" customFormat="1" ht="13.8" x14ac:dyDescent="0.3">
      <c r="A276" s="115" t="s">
        <v>21</v>
      </c>
      <c r="B276" s="116">
        <v>2000571213</v>
      </c>
      <c r="C276" s="116">
        <v>9.0079999999999991</v>
      </c>
      <c r="D276" s="117">
        <v>50.5</v>
      </c>
      <c r="E276" s="117"/>
      <c r="F276" s="117">
        <v>450</v>
      </c>
      <c r="G276" s="117">
        <v>900</v>
      </c>
      <c r="H276" s="123"/>
      <c r="I276" s="117" t="s">
        <v>122</v>
      </c>
      <c r="J276" s="115">
        <v>368</v>
      </c>
      <c r="K276" s="115" t="s">
        <v>23</v>
      </c>
      <c r="L276" s="117" t="s">
        <v>24</v>
      </c>
      <c r="M276" s="66">
        <v>296885</v>
      </c>
      <c r="N276" s="66">
        <v>5876</v>
      </c>
      <c r="O276" s="66">
        <v>100941</v>
      </c>
      <c r="P276" s="66">
        <v>397826</v>
      </c>
      <c r="Q276" s="67">
        <v>0.4</v>
      </c>
      <c r="R276" s="66">
        <v>159130</v>
      </c>
      <c r="S276" s="66">
        <v>556957</v>
      </c>
      <c r="T276" s="106">
        <f>IF(A276="Upgrade",IF(OR(H276=4,H276=5),_xlfn.XLOOKUP(I276,'Renewal Rates'!$A$22:$A$27,'Renewal Rates'!$B$22:$B$27,'Renewal Rates'!$B$27,0),'Renewal Rates'!$F$7),IF(A276="Renewal",100%,0%))</f>
        <v>2.6599999999999999E-2</v>
      </c>
      <c r="U276" s="68">
        <f t="shared" si="4"/>
        <v>14815.056199999999</v>
      </c>
    </row>
    <row r="277" spans="1:21" s="41" customFormat="1" ht="13.8" x14ac:dyDescent="0.3">
      <c r="A277" s="115" t="s">
        <v>21</v>
      </c>
      <c r="B277" s="116">
        <v>2000801151</v>
      </c>
      <c r="C277" s="116">
        <v>9.0069999999999997</v>
      </c>
      <c r="D277" s="117">
        <v>29.3</v>
      </c>
      <c r="E277" s="117"/>
      <c r="F277" s="117">
        <v>450</v>
      </c>
      <c r="G277" s="117">
        <v>900</v>
      </c>
      <c r="H277" s="123"/>
      <c r="I277" s="117" t="s">
        <v>122</v>
      </c>
      <c r="J277" s="115">
        <v>368</v>
      </c>
      <c r="K277" s="115" t="s">
        <v>23</v>
      </c>
      <c r="L277" s="117" t="s">
        <v>24</v>
      </c>
      <c r="M277" s="66">
        <v>169393</v>
      </c>
      <c r="N277" s="66">
        <v>5784</v>
      </c>
      <c r="O277" s="66">
        <v>57594</v>
      </c>
      <c r="P277" s="66">
        <v>226986</v>
      </c>
      <c r="Q277" s="67">
        <v>0.4</v>
      </c>
      <c r="R277" s="66">
        <v>90795</v>
      </c>
      <c r="S277" s="66">
        <v>317781</v>
      </c>
      <c r="T277" s="106">
        <f>IF(A277="Upgrade",IF(OR(H277=4,H277=5),_xlfn.XLOOKUP(I277,'Renewal Rates'!$A$22:$A$27,'Renewal Rates'!$B$22:$B$27,'Renewal Rates'!$B$27,0),'Renewal Rates'!$F$7),IF(A277="Renewal",100%,0%))</f>
        <v>2.6599999999999999E-2</v>
      </c>
      <c r="U277" s="68">
        <f t="shared" si="4"/>
        <v>8452.9745999999996</v>
      </c>
    </row>
    <row r="278" spans="1:21" s="41" customFormat="1" ht="13.8" x14ac:dyDescent="0.3">
      <c r="A278" s="115" t="s">
        <v>21</v>
      </c>
      <c r="B278" s="116">
        <v>2000370934</v>
      </c>
      <c r="C278" s="116">
        <v>9.0069999999999997</v>
      </c>
      <c r="D278" s="117">
        <v>12.2</v>
      </c>
      <c r="E278" s="117"/>
      <c r="F278" s="117">
        <v>450</v>
      </c>
      <c r="G278" s="117">
        <v>900</v>
      </c>
      <c r="H278" s="123"/>
      <c r="I278" s="117" t="s">
        <v>122</v>
      </c>
      <c r="J278" s="115">
        <v>368</v>
      </c>
      <c r="K278" s="115" t="s">
        <v>23</v>
      </c>
      <c r="L278" s="117" t="s">
        <v>24</v>
      </c>
      <c r="M278" s="66">
        <v>95156</v>
      </c>
      <c r="N278" s="66">
        <v>7800</v>
      </c>
      <c r="O278" s="66">
        <v>32353</v>
      </c>
      <c r="P278" s="66">
        <v>127509</v>
      </c>
      <c r="Q278" s="67">
        <v>0.4</v>
      </c>
      <c r="R278" s="66">
        <v>51004</v>
      </c>
      <c r="S278" s="66">
        <v>178513</v>
      </c>
      <c r="T278" s="106">
        <f>IF(A278="Upgrade",IF(OR(H278=4,H278=5),_xlfn.XLOOKUP(I278,'Renewal Rates'!$A$22:$A$27,'Renewal Rates'!$B$22:$B$27,'Renewal Rates'!$B$27,0),'Renewal Rates'!$F$7),IF(A278="Renewal",100%,0%))</f>
        <v>2.6599999999999999E-2</v>
      </c>
      <c r="U278" s="68">
        <f t="shared" si="4"/>
        <v>4748.4457999999995</v>
      </c>
    </row>
    <row r="279" spans="1:21" s="41" customFormat="1" ht="13.8" x14ac:dyDescent="0.3">
      <c r="A279" s="115" t="s">
        <v>21</v>
      </c>
      <c r="B279" s="116">
        <v>2000251568</v>
      </c>
      <c r="C279" s="116">
        <v>9.0069999999999997</v>
      </c>
      <c r="D279" s="117">
        <v>46.2</v>
      </c>
      <c r="E279" s="117"/>
      <c r="F279" s="117">
        <v>450</v>
      </c>
      <c r="G279" s="117">
        <v>900</v>
      </c>
      <c r="H279" s="123"/>
      <c r="I279" s="117" t="s">
        <v>122</v>
      </c>
      <c r="J279" s="115">
        <v>368</v>
      </c>
      <c r="K279" s="115" t="s">
        <v>23</v>
      </c>
      <c r="L279" s="117" t="s">
        <v>24</v>
      </c>
      <c r="M279" s="66">
        <v>243381</v>
      </c>
      <c r="N279" s="66">
        <v>5265</v>
      </c>
      <c r="O279" s="66">
        <v>82750</v>
      </c>
      <c r="P279" s="66">
        <v>326131</v>
      </c>
      <c r="Q279" s="67">
        <v>0.4</v>
      </c>
      <c r="R279" s="66">
        <v>130452</v>
      </c>
      <c r="S279" s="66">
        <v>456583</v>
      </c>
      <c r="T279" s="106">
        <f>IF(A279="Upgrade",IF(OR(H279=4,H279=5),_xlfn.XLOOKUP(I279,'Renewal Rates'!$A$22:$A$27,'Renewal Rates'!$B$22:$B$27,'Renewal Rates'!$B$27,0),'Renewal Rates'!$F$7),IF(A279="Renewal",100%,0%))</f>
        <v>2.6599999999999999E-2</v>
      </c>
      <c r="U279" s="68">
        <f t="shared" si="4"/>
        <v>12145.1078</v>
      </c>
    </row>
    <row r="280" spans="1:21" s="41" customFormat="1" ht="13.8" x14ac:dyDescent="0.3">
      <c r="A280" s="115" t="s">
        <v>21</v>
      </c>
      <c r="B280" s="116">
        <v>2000604516</v>
      </c>
      <c r="C280" s="116">
        <v>9.0069999999999997</v>
      </c>
      <c r="D280" s="117">
        <v>5.5</v>
      </c>
      <c r="E280" s="117"/>
      <c r="F280" s="117">
        <v>225</v>
      </c>
      <c r="G280" s="117">
        <v>900</v>
      </c>
      <c r="H280" s="123"/>
      <c r="I280" s="117" t="s">
        <v>122</v>
      </c>
      <c r="J280" s="115">
        <v>368</v>
      </c>
      <c r="K280" s="115" t="s">
        <v>23</v>
      </c>
      <c r="L280" s="117" t="s">
        <v>24</v>
      </c>
      <c r="M280" s="66">
        <v>61138</v>
      </c>
      <c r="N280" s="66">
        <v>11134</v>
      </c>
      <c r="O280" s="66">
        <v>20787</v>
      </c>
      <c r="P280" s="66">
        <v>81925</v>
      </c>
      <c r="Q280" s="67">
        <v>0.4</v>
      </c>
      <c r="R280" s="66">
        <v>32770</v>
      </c>
      <c r="S280" s="66">
        <v>114696</v>
      </c>
      <c r="T280" s="106">
        <f>IF(A280="Upgrade",IF(OR(H280=4,H280=5),_xlfn.XLOOKUP(I280,'Renewal Rates'!$A$22:$A$27,'Renewal Rates'!$B$22:$B$27,'Renewal Rates'!$B$27,0),'Renewal Rates'!$F$7),IF(A280="Renewal",100%,0%))</f>
        <v>2.6599999999999999E-2</v>
      </c>
      <c r="U280" s="68">
        <f t="shared" si="4"/>
        <v>3050.9135999999999</v>
      </c>
    </row>
    <row r="281" spans="1:21" s="41" customFormat="1" ht="13.8" x14ac:dyDescent="0.3">
      <c r="A281" s="115" t="s">
        <v>21</v>
      </c>
      <c r="B281" s="116">
        <v>2000155248</v>
      </c>
      <c r="C281" s="116">
        <v>9.0069999999999997</v>
      </c>
      <c r="D281" s="117">
        <v>10.199999999999999</v>
      </c>
      <c r="E281" s="117"/>
      <c r="F281" s="117">
        <v>225</v>
      </c>
      <c r="G281" s="117">
        <v>900</v>
      </c>
      <c r="H281" s="123"/>
      <c r="I281" s="117" t="s">
        <v>122</v>
      </c>
      <c r="J281" s="115">
        <v>368</v>
      </c>
      <c r="K281" s="115" t="s">
        <v>23</v>
      </c>
      <c r="L281" s="117" t="s">
        <v>24</v>
      </c>
      <c r="M281" s="66">
        <v>115218</v>
      </c>
      <c r="N281" s="66">
        <v>11271</v>
      </c>
      <c r="O281" s="66">
        <v>39174</v>
      </c>
      <c r="P281" s="66">
        <v>154391</v>
      </c>
      <c r="Q281" s="67">
        <v>0.4</v>
      </c>
      <c r="R281" s="66">
        <v>61757</v>
      </c>
      <c r="S281" s="66">
        <v>216148</v>
      </c>
      <c r="T281" s="106">
        <f>IF(A281="Upgrade",IF(OR(H281=4,H281=5),_xlfn.XLOOKUP(I281,'Renewal Rates'!$A$22:$A$27,'Renewal Rates'!$B$22:$B$27,'Renewal Rates'!$B$27,0),'Renewal Rates'!$F$7),IF(A281="Renewal",100%,0%))</f>
        <v>2.6599999999999999E-2</v>
      </c>
      <c r="U281" s="68">
        <f t="shared" si="4"/>
        <v>5749.5367999999999</v>
      </c>
    </row>
    <row r="282" spans="1:21" s="41" customFormat="1" ht="13.8" x14ac:dyDescent="0.3">
      <c r="A282" s="115" t="s">
        <v>25</v>
      </c>
      <c r="B282" s="116" t="s">
        <v>22</v>
      </c>
      <c r="C282" s="116">
        <v>9.0009999999999994</v>
      </c>
      <c r="D282" s="117"/>
      <c r="E282" s="117">
        <v>215.4</v>
      </c>
      <c r="F282" s="117"/>
      <c r="G282" s="117">
        <v>825</v>
      </c>
      <c r="H282" s="123"/>
      <c r="I282" s="117" t="s">
        <v>122</v>
      </c>
      <c r="J282" s="115">
        <v>368</v>
      </c>
      <c r="K282" s="115" t="s">
        <v>23</v>
      </c>
      <c r="L282" s="117" t="s">
        <v>24</v>
      </c>
      <c r="M282" s="66">
        <v>939998</v>
      </c>
      <c r="N282" s="66">
        <v>4363</v>
      </c>
      <c r="O282" s="66">
        <v>319599</v>
      </c>
      <c r="P282" s="66">
        <v>1259597</v>
      </c>
      <c r="Q282" s="67">
        <v>0.4</v>
      </c>
      <c r="R282" s="66">
        <v>503839</v>
      </c>
      <c r="S282" s="66">
        <v>1763436</v>
      </c>
      <c r="T282" s="106">
        <f>IF(A282="Upgrade",IF(OR(H282=4,H282=5),_xlfn.XLOOKUP(I282,'Renewal Rates'!$A$22:$A$27,'Renewal Rates'!$B$22:$B$27,'Renewal Rates'!$B$27,0),'Renewal Rates'!$F$7),IF(A282="Renewal",100%,0%))</f>
        <v>0</v>
      </c>
      <c r="U282" s="68">
        <f t="shared" si="4"/>
        <v>0</v>
      </c>
    </row>
    <row r="283" spans="1:21" s="41" customFormat="1" ht="13.8" x14ac:dyDescent="0.3">
      <c r="A283" s="115" t="s">
        <v>21</v>
      </c>
      <c r="B283" s="116">
        <v>3000015891</v>
      </c>
      <c r="C283" s="116">
        <v>9.02</v>
      </c>
      <c r="D283" s="117">
        <v>18.5</v>
      </c>
      <c r="E283" s="117"/>
      <c r="F283" s="117">
        <v>450</v>
      </c>
      <c r="G283" s="117">
        <v>825</v>
      </c>
      <c r="H283" s="123"/>
      <c r="I283" s="117" t="s">
        <v>122</v>
      </c>
      <c r="J283" s="115">
        <v>368</v>
      </c>
      <c r="K283" s="115" t="s">
        <v>23</v>
      </c>
      <c r="L283" s="117" t="s">
        <v>24</v>
      </c>
      <c r="M283" s="66">
        <v>116132</v>
      </c>
      <c r="N283" s="66">
        <v>6281</v>
      </c>
      <c r="O283" s="66">
        <v>39485</v>
      </c>
      <c r="P283" s="66">
        <v>155617</v>
      </c>
      <c r="Q283" s="67">
        <v>0.4</v>
      </c>
      <c r="R283" s="66">
        <v>62247</v>
      </c>
      <c r="S283" s="66">
        <v>217864</v>
      </c>
      <c r="T283" s="106">
        <f>IF(A283="Upgrade",IF(OR(H283=4,H283=5),_xlfn.XLOOKUP(I283,'Renewal Rates'!$A$22:$A$27,'Renewal Rates'!$B$22:$B$27,'Renewal Rates'!$B$27,0),'Renewal Rates'!$F$7),IF(A283="Renewal",100%,0%))</f>
        <v>2.6599999999999999E-2</v>
      </c>
      <c r="U283" s="68">
        <f t="shared" si="4"/>
        <v>5795.1823999999997</v>
      </c>
    </row>
    <row r="284" spans="1:21" s="41" customFormat="1" ht="13.8" x14ac:dyDescent="0.3">
      <c r="A284" s="115" t="s">
        <v>21</v>
      </c>
      <c r="B284" s="116">
        <v>2000351799</v>
      </c>
      <c r="C284" s="116">
        <v>9.02</v>
      </c>
      <c r="D284" s="117">
        <v>21.8</v>
      </c>
      <c r="E284" s="117"/>
      <c r="F284" s="117">
        <v>450</v>
      </c>
      <c r="G284" s="117">
        <v>825</v>
      </c>
      <c r="H284" s="123"/>
      <c r="I284" s="117" t="s">
        <v>122</v>
      </c>
      <c r="J284" s="115">
        <v>368</v>
      </c>
      <c r="K284" s="115" t="s">
        <v>23</v>
      </c>
      <c r="L284" s="117" t="s">
        <v>24</v>
      </c>
      <c r="M284" s="66">
        <v>121152</v>
      </c>
      <c r="N284" s="66">
        <v>5562</v>
      </c>
      <c r="O284" s="66">
        <v>41192</v>
      </c>
      <c r="P284" s="66">
        <v>162344</v>
      </c>
      <c r="Q284" s="67">
        <v>0.4</v>
      </c>
      <c r="R284" s="66">
        <v>64938</v>
      </c>
      <c r="S284" s="66">
        <v>227282</v>
      </c>
      <c r="T284" s="106">
        <f>IF(A284="Upgrade",IF(OR(H284=4,H284=5),_xlfn.XLOOKUP(I284,'Renewal Rates'!$A$22:$A$27,'Renewal Rates'!$B$22:$B$27,'Renewal Rates'!$B$27,0),'Renewal Rates'!$F$7),IF(A284="Renewal",100%,0%))</f>
        <v>2.6599999999999999E-2</v>
      </c>
      <c r="U284" s="68">
        <f t="shared" si="4"/>
        <v>6045.7011999999995</v>
      </c>
    </row>
    <row r="285" spans="1:21" s="41" customFormat="1" ht="13.8" x14ac:dyDescent="0.3">
      <c r="A285" s="115" t="s">
        <v>21</v>
      </c>
      <c r="B285" s="116">
        <v>2000835919</v>
      </c>
      <c r="C285" s="116">
        <v>9.02</v>
      </c>
      <c r="D285" s="117">
        <v>8.6999999999999993</v>
      </c>
      <c r="E285" s="117"/>
      <c r="F285" s="117">
        <v>450</v>
      </c>
      <c r="G285" s="117">
        <v>825</v>
      </c>
      <c r="H285" s="123"/>
      <c r="I285" s="117" t="s">
        <v>122</v>
      </c>
      <c r="J285" s="115">
        <v>368</v>
      </c>
      <c r="K285" s="115" t="s">
        <v>23</v>
      </c>
      <c r="L285" s="117" t="s">
        <v>24</v>
      </c>
      <c r="M285" s="66">
        <v>81768</v>
      </c>
      <c r="N285" s="66">
        <v>9405</v>
      </c>
      <c r="O285" s="66">
        <v>27801</v>
      </c>
      <c r="P285" s="66">
        <v>109569</v>
      </c>
      <c r="Q285" s="67">
        <v>0.4</v>
      </c>
      <c r="R285" s="66">
        <v>43827</v>
      </c>
      <c r="S285" s="66">
        <v>153396</v>
      </c>
      <c r="T285" s="106">
        <f>IF(A285="Upgrade",IF(OR(H285=4,H285=5),_xlfn.XLOOKUP(I285,'Renewal Rates'!$A$22:$A$27,'Renewal Rates'!$B$22:$B$27,'Renewal Rates'!$B$27,0),'Renewal Rates'!$F$7),IF(A285="Renewal",100%,0%))</f>
        <v>2.6599999999999999E-2</v>
      </c>
      <c r="U285" s="68">
        <f t="shared" si="4"/>
        <v>4080.3335999999999</v>
      </c>
    </row>
    <row r="286" spans="1:21" s="41" customFormat="1" ht="13.8" x14ac:dyDescent="0.3">
      <c r="A286" s="115" t="s">
        <v>21</v>
      </c>
      <c r="B286" s="116">
        <v>2000811210</v>
      </c>
      <c r="C286" s="116">
        <v>9.0180000000000007</v>
      </c>
      <c r="D286" s="117">
        <v>26.4</v>
      </c>
      <c r="E286" s="117"/>
      <c r="F286" s="117">
        <v>450</v>
      </c>
      <c r="G286" s="117">
        <v>675</v>
      </c>
      <c r="H286" s="123"/>
      <c r="I286" s="117" t="s">
        <v>122</v>
      </c>
      <c r="J286" s="115">
        <v>368</v>
      </c>
      <c r="K286" s="115" t="s">
        <v>23</v>
      </c>
      <c r="L286" s="117" t="s">
        <v>24</v>
      </c>
      <c r="M286" s="66">
        <v>120453</v>
      </c>
      <c r="N286" s="66">
        <v>4566</v>
      </c>
      <c r="O286" s="66">
        <v>40954</v>
      </c>
      <c r="P286" s="66">
        <v>161407</v>
      </c>
      <c r="Q286" s="67">
        <v>0.4</v>
      </c>
      <c r="R286" s="66">
        <v>64563</v>
      </c>
      <c r="S286" s="66">
        <v>225970</v>
      </c>
      <c r="T286" s="106">
        <f>IF(A286="Upgrade",IF(OR(H286=4,H286=5),_xlfn.XLOOKUP(I286,'Renewal Rates'!$A$22:$A$27,'Renewal Rates'!$B$22:$B$27,'Renewal Rates'!$B$27,0),'Renewal Rates'!$F$7),IF(A286="Renewal",100%,0%))</f>
        <v>2.6599999999999999E-2</v>
      </c>
      <c r="U286" s="68">
        <f t="shared" si="4"/>
        <v>6010.8019999999997</v>
      </c>
    </row>
    <row r="287" spans="1:21" s="41" customFormat="1" ht="13.8" x14ac:dyDescent="0.3">
      <c r="A287" s="115" t="s">
        <v>21</v>
      </c>
      <c r="B287" s="116">
        <v>2000776352</v>
      </c>
      <c r="C287" s="116">
        <v>9.0180000000000007</v>
      </c>
      <c r="D287" s="117">
        <v>74.400000000000006</v>
      </c>
      <c r="E287" s="117"/>
      <c r="F287" s="117">
        <v>225</v>
      </c>
      <c r="G287" s="117">
        <v>675</v>
      </c>
      <c r="H287" s="123"/>
      <c r="I287" s="117" t="s">
        <v>122</v>
      </c>
      <c r="J287" s="115">
        <v>368</v>
      </c>
      <c r="K287" s="115" t="s">
        <v>23</v>
      </c>
      <c r="L287" s="117" t="s">
        <v>24</v>
      </c>
      <c r="M287" s="66">
        <v>300054</v>
      </c>
      <c r="N287" s="66">
        <v>4033</v>
      </c>
      <c r="O287" s="66">
        <v>102018</v>
      </c>
      <c r="P287" s="66">
        <v>402072</v>
      </c>
      <c r="Q287" s="67">
        <v>0.4</v>
      </c>
      <c r="R287" s="66">
        <v>160829</v>
      </c>
      <c r="S287" s="66">
        <v>562901</v>
      </c>
      <c r="T287" s="106">
        <f>IF(A287="Upgrade",IF(OR(H287=4,H287=5),_xlfn.XLOOKUP(I287,'Renewal Rates'!$A$22:$A$27,'Renewal Rates'!$B$22:$B$27,'Renewal Rates'!$B$27,0),'Renewal Rates'!$F$7),IF(A287="Renewal",100%,0%))</f>
        <v>2.6599999999999999E-2</v>
      </c>
      <c r="U287" s="68">
        <f t="shared" si="4"/>
        <v>14973.166599999999</v>
      </c>
    </row>
    <row r="288" spans="1:21" s="41" customFormat="1" ht="13.8" x14ac:dyDescent="0.3">
      <c r="A288" s="115" t="s">
        <v>21</v>
      </c>
      <c r="B288" s="116">
        <v>2000692873</v>
      </c>
      <c r="C288" s="116">
        <v>9.0180000000000007</v>
      </c>
      <c r="D288" s="117">
        <v>33</v>
      </c>
      <c r="E288" s="117"/>
      <c r="F288" s="117">
        <v>225</v>
      </c>
      <c r="G288" s="117">
        <v>675</v>
      </c>
      <c r="H288" s="123"/>
      <c r="I288" s="117" t="s">
        <v>122</v>
      </c>
      <c r="J288" s="115">
        <v>368</v>
      </c>
      <c r="K288" s="115" t="s">
        <v>23</v>
      </c>
      <c r="L288" s="117" t="s">
        <v>24</v>
      </c>
      <c r="M288" s="66">
        <v>147766</v>
      </c>
      <c r="N288" s="66">
        <v>4483</v>
      </c>
      <c r="O288" s="66">
        <v>50240</v>
      </c>
      <c r="P288" s="66">
        <v>198006</v>
      </c>
      <c r="Q288" s="67">
        <v>0.4</v>
      </c>
      <c r="R288" s="66">
        <v>79202</v>
      </c>
      <c r="S288" s="66">
        <v>277209</v>
      </c>
      <c r="T288" s="106">
        <f>IF(A288="Upgrade",IF(OR(H288=4,H288=5),_xlfn.XLOOKUP(I288,'Renewal Rates'!$A$22:$A$27,'Renewal Rates'!$B$22:$B$27,'Renewal Rates'!$B$27,0),'Renewal Rates'!$F$7),IF(A288="Renewal",100%,0%))</f>
        <v>2.6599999999999999E-2</v>
      </c>
      <c r="U288" s="68">
        <f t="shared" si="4"/>
        <v>7373.7593999999999</v>
      </c>
    </row>
    <row r="289" spans="1:21" s="41" customFormat="1" ht="13.8" x14ac:dyDescent="0.3">
      <c r="A289" s="115" t="s">
        <v>21</v>
      </c>
      <c r="B289" s="116">
        <v>2000825924</v>
      </c>
      <c r="C289" s="116">
        <v>9.0190000000000001</v>
      </c>
      <c r="D289" s="117">
        <v>37.799999999999997</v>
      </c>
      <c r="E289" s="117"/>
      <c r="F289" s="117">
        <v>225</v>
      </c>
      <c r="G289" s="117">
        <v>525</v>
      </c>
      <c r="H289" s="123"/>
      <c r="I289" s="117" t="s">
        <v>122</v>
      </c>
      <c r="J289" s="115">
        <v>368</v>
      </c>
      <c r="K289" s="115" t="s">
        <v>23</v>
      </c>
      <c r="L289" s="117" t="s">
        <v>24</v>
      </c>
      <c r="M289" s="66">
        <v>115819</v>
      </c>
      <c r="N289" s="66">
        <v>3062</v>
      </c>
      <c r="O289" s="66">
        <v>39378</v>
      </c>
      <c r="P289" s="66">
        <v>155197</v>
      </c>
      <c r="Q289" s="67">
        <v>0.4</v>
      </c>
      <c r="R289" s="66">
        <v>62079</v>
      </c>
      <c r="S289" s="66">
        <v>217276</v>
      </c>
      <c r="T289" s="106">
        <f>IF(A289="Upgrade",IF(OR(H289=4,H289=5),_xlfn.XLOOKUP(I289,'Renewal Rates'!$A$22:$A$27,'Renewal Rates'!$B$22:$B$27,'Renewal Rates'!$B$27,0),'Renewal Rates'!$F$7),IF(A289="Renewal",100%,0%))</f>
        <v>2.6599999999999999E-2</v>
      </c>
      <c r="U289" s="68">
        <f t="shared" si="4"/>
        <v>5779.5415999999996</v>
      </c>
    </row>
    <row r="290" spans="1:21" s="41" customFormat="1" ht="13.8" x14ac:dyDescent="0.3">
      <c r="A290" s="115" t="s">
        <v>21</v>
      </c>
      <c r="B290" s="116">
        <v>2000721088</v>
      </c>
      <c r="C290" s="116">
        <v>9.0150000000000006</v>
      </c>
      <c r="D290" s="117">
        <v>62.3</v>
      </c>
      <c r="E290" s="117"/>
      <c r="F290" s="117">
        <v>450</v>
      </c>
      <c r="G290" s="117">
        <v>825</v>
      </c>
      <c r="H290" s="123"/>
      <c r="I290" s="117" t="s">
        <v>122</v>
      </c>
      <c r="J290" s="115">
        <v>375</v>
      </c>
      <c r="K290" s="115" t="s">
        <v>23</v>
      </c>
      <c r="L290" s="117" t="s">
        <v>24</v>
      </c>
      <c r="M290" s="66">
        <v>327521</v>
      </c>
      <c r="N290" s="66">
        <v>5257</v>
      </c>
      <c r="O290" s="66">
        <v>111357</v>
      </c>
      <c r="P290" s="66">
        <v>438878</v>
      </c>
      <c r="Q290" s="67">
        <v>0.4</v>
      </c>
      <c r="R290" s="66">
        <v>175551</v>
      </c>
      <c r="S290" s="66">
        <v>614429</v>
      </c>
      <c r="T290" s="106">
        <f>IF(A290="Upgrade",IF(OR(H290=4,H290=5),_xlfn.XLOOKUP(I290,'Renewal Rates'!$A$22:$A$27,'Renewal Rates'!$B$22:$B$27,'Renewal Rates'!$B$27,0),'Renewal Rates'!$F$7),IF(A290="Renewal",100%,0%))</f>
        <v>2.6599999999999999E-2</v>
      </c>
      <c r="U290" s="68">
        <f t="shared" si="4"/>
        <v>16343.811399999999</v>
      </c>
    </row>
    <row r="291" spans="1:21" s="41" customFormat="1" ht="13.8" x14ac:dyDescent="0.3">
      <c r="A291" s="115" t="s">
        <v>21</v>
      </c>
      <c r="B291" s="116">
        <v>2000338955</v>
      </c>
      <c r="C291" s="116">
        <v>9.0169999999999995</v>
      </c>
      <c r="D291" s="117">
        <v>21.2</v>
      </c>
      <c r="E291" s="117"/>
      <c r="F291" s="117">
        <v>300</v>
      </c>
      <c r="G291" s="117">
        <v>600</v>
      </c>
      <c r="H291" s="123"/>
      <c r="I291" s="117" t="s">
        <v>122</v>
      </c>
      <c r="J291" s="115">
        <v>368</v>
      </c>
      <c r="K291" s="115" t="s">
        <v>23</v>
      </c>
      <c r="L291" s="117" t="s">
        <v>24</v>
      </c>
      <c r="M291" s="66">
        <v>84808</v>
      </c>
      <c r="N291" s="66">
        <v>4003</v>
      </c>
      <c r="O291" s="66">
        <v>28835</v>
      </c>
      <c r="P291" s="66">
        <v>113643</v>
      </c>
      <c r="Q291" s="67">
        <v>0.4</v>
      </c>
      <c r="R291" s="66">
        <v>45457</v>
      </c>
      <c r="S291" s="66">
        <v>159100</v>
      </c>
      <c r="T291" s="106">
        <f>IF(A291="Upgrade",IF(OR(H291=4,H291=5),_xlfn.XLOOKUP(I291,'Renewal Rates'!$A$22:$A$27,'Renewal Rates'!$B$22:$B$27,'Renewal Rates'!$B$27,0),'Renewal Rates'!$F$7),IF(A291="Renewal",100%,0%))</f>
        <v>2.6599999999999999E-2</v>
      </c>
      <c r="U291" s="68">
        <f t="shared" si="4"/>
        <v>4232.0599999999995</v>
      </c>
    </row>
    <row r="292" spans="1:21" s="41" customFormat="1" ht="13.8" x14ac:dyDescent="0.3">
      <c r="A292" s="115" t="s">
        <v>21</v>
      </c>
      <c r="B292" s="116">
        <v>2000038937</v>
      </c>
      <c r="C292" s="116">
        <v>9.0169999999999995</v>
      </c>
      <c r="D292" s="117">
        <v>22.6</v>
      </c>
      <c r="E292" s="117"/>
      <c r="F292" s="117">
        <v>300</v>
      </c>
      <c r="G292" s="117">
        <v>600</v>
      </c>
      <c r="H292" s="123"/>
      <c r="I292" s="117" t="s">
        <v>122</v>
      </c>
      <c r="J292" s="115">
        <v>368</v>
      </c>
      <c r="K292" s="115" t="s">
        <v>23</v>
      </c>
      <c r="L292" s="117" t="s">
        <v>24</v>
      </c>
      <c r="M292" s="66">
        <v>86263</v>
      </c>
      <c r="N292" s="66">
        <v>3818</v>
      </c>
      <c r="O292" s="66">
        <v>29329</v>
      </c>
      <c r="P292" s="66">
        <v>115592</v>
      </c>
      <c r="Q292" s="67">
        <v>0.4</v>
      </c>
      <c r="R292" s="66">
        <v>46237</v>
      </c>
      <c r="S292" s="66">
        <v>161829</v>
      </c>
      <c r="T292" s="106">
        <f>IF(A292="Upgrade",IF(OR(H292=4,H292=5),_xlfn.XLOOKUP(I292,'Renewal Rates'!$A$22:$A$27,'Renewal Rates'!$B$22:$B$27,'Renewal Rates'!$B$27,0),'Renewal Rates'!$F$7),IF(A292="Renewal",100%,0%))</f>
        <v>2.6599999999999999E-2</v>
      </c>
      <c r="U292" s="68">
        <f t="shared" si="4"/>
        <v>4304.6513999999997</v>
      </c>
    </row>
    <row r="293" spans="1:21" s="41" customFormat="1" ht="13.8" x14ac:dyDescent="0.3">
      <c r="A293" s="115" t="s">
        <v>21</v>
      </c>
      <c r="B293" s="116">
        <v>2000870410</v>
      </c>
      <c r="C293" s="116">
        <v>9.0169999999999995</v>
      </c>
      <c r="D293" s="117">
        <v>20.100000000000001</v>
      </c>
      <c r="E293" s="117"/>
      <c r="F293" s="117">
        <v>300</v>
      </c>
      <c r="G293" s="117">
        <v>600</v>
      </c>
      <c r="H293" s="123"/>
      <c r="I293" s="117" t="s">
        <v>122</v>
      </c>
      <c r="J293" s="115">
        <v>368</v>
      </c>
      <c r="K293" s="115" t="s">
        <v>23</v>
      </c>
      <c r="L293" s="117" t="s">
        <v>24</v>
      </c>
      <c r="M293" s="66">
        <v>83722</v>
      </c>
      <c r="N293" s="66">
        <v>4158</v>
      </c>
      <c r="O293" s="66">
        <v>28466</v>
      </c>
      <c r="P293" s="66">
        <v>112188</v>
      </c>
      <c r="Q293" s="67">
        <v>0.4</v>
      </c>
      <c r="R293" s="66">
        <v>44875</v>
      </c>
      <c r="S293" s="66">
        <v>157063</v>
      </c>
      <c r="T293" s="106">
        <f>IF(A293="Upgrade",IF(OR(H293=4,H293=5),_xlfn.XLOOKUP(I293,'Renewal Rates'!$A$22:$A$27,'Renewal Rates'!$B$22:$B$27,'Renewal Rates'!$B$27,0),'Renewal Rates'!$F$7),IF(A293="Renewal",100%,0%))</f>
        <v>2.6599999999999999E-2</v>
      </c>
      <c r="U293" s="68">
        <f t="shared" si="4"/>
        <v>4177.8757999999998</v>
      </c>
    </row>
    <row r="294" spans="1:21" s="41" customFormat="1" ht="13.8" x14ac:dyDescent="0.3">
      <c r="A294" s="115" t="s">
        <v>21</v>
      </c>
      <c r="B294" s="116">
        <v>2000250726</v>
      </c>
      <c r="C294" s="116">
        <v>9.0169999999999995</v>
      </c>
      <c r="D294" s="117">
        <v>54.3</v>
      </c>
      <c r="E294" s="117"/>
      <c r="F294" s="117">
        <v>300</v>
      </c>
      <c r="G294" s="117">
        <v>600</v>
      </c>
      <c r="H294" s="123">
        <v>4</v>
      </c>
      <c r="I294" s="117"/>
      <c r="J294" s="115">
        <v>368</v>
      </c>
      <c r="K294" s="115" t="s">
        <v>23</v>
      </c>
      <c r="L294" s="117" t="s">
        <v>24</v>
      </c>
      <c r="M294" s="66">
        <v>195815</v>
      </c>
      <c r="N294" s="66">
        <v>3603</v>
      </c>
      <c r="O294" s="66">
        <v>66577</v>
      </c>
      <c r="P294" s="66">
        <v>262392</v>
      </c>
      <c r="Q294" s="67">
        <v>0.4</v>
      </c>
      <c r="R294" s="66">
        <v>104957</v>
      </c>
      <c r="S294" s="66">
        <v>367349</v>
      </c>
      <c r="T294" s="106">
        <f>IF(A294="Upgrade",IF(OR(H294=4,H294=5),_xlfn.XLOOKUP(I294,'Renewal Rates'!$A$22:$A$27,'Renewal Rates'!$B$22:$B$27,'Renewal Rates'!$B$27,0),'Renewal Rates'!$F$7),IF(A294="Renewal",100%,0%))</f>
        <v>0.116578</v>
      </c>
      <c r="U294" s="68">
        <f t="shared" si="4"/>
        <v>42824.811721999999</v>
      </c>
    </row>
    <row r="295" spans="1:21" s="41" customFormat="1" ht="13.8" x14ac:dyDescent="0.3">
      <c r="A295" s="115" t="s">
        <v>21</v>
      </c>
      <c r="B295" s="116">
        <v>2000514771</v>
      </c>
      <c r="C295" s="116">
        <v>9.0139999999999993</v>
      </c>
      <c r="D295" s="117">
        <v>13.7</v>
      </c>
      <c r="E295" s="117"/>
      <c r="F295" s="117">
        <v>450</v>
      </c>
      <c r="G295" s="117">
        <v>750</v>
      </c>
      <c r="H295" s="123"/>
      <c r="I295" s="117" t="s">
        <v>122</v>
      </c>
      <c r="J295" s="115">
        <v>375</v>
      </c>
      <c r="K295" s="115" t="s">
        <v>23</v>
      </c>
      <c r="L295" s="117" t="s">
        <v>24</v>
      </c>
      <c r="M295" s="66">
        <v>87580</v>
      </c>
      <c r="N295" s="66">
        <v>6404</v>
      </c>
      <c r="O295" s="66">
        <v>29777</v>
      </c>
      <c r="P295" s="66">
        <v>117358</v>
      </c>
      <c r="Q295" s="67">
        <v>0.4</v>
      </c>
      <c r="R295" s="66">
        <v>46943</v>
      </c>
      <c r="S295" s="66">
        <v>164301</v>
      </c>
      <c r="T295" s="106">
        <f>IF(A295="Upgrade",IF(OR(H295=4,H295=5),_xlfn.XLOOKUP(I295,'Renewal Rates'!$A$22:$A$27,'Renewal Rates'!$B$22:$B$27,'Renewal Rates'!$B$27,0),'Renewal Rates'!$F$7),IF(A295="Renewal",100%,0%))</f>
        <v>2.6599999999999999E-2</v>
      </c>
      <c r="U295" s="68">
        <f t="shared" si="4"/>
        <v>4370.4065999999993</v>
      </c>
    </row>
    <row r="296" spans="1:21" s="41" customFormat="1" ht="13.8" x14ac:dyDescent="0.3">
      <c r="A296" s="115" t="s">
        <v>21</v>
      </c>
      <c r="B296" s="116">
        <v>3000007134</v>
      </c>
      <c r="C296" s="116">
        <v>9.0139999999999993</v>
      </c>
      <c r="D296" s="117">
        <v>72.3</v>
      </c>
      <c r="E296" s="117"/>
      <c r="F296" s="117">
        <v>450</v>
      </c>
      <c r="G296" s="117">
        <v>750</v>
      </c>
      <c r="H296" s="123"/>
      <c r="I296" s="117" t="s">
        <v>122</v>
      </c>
      <c r="J296" s="115">
        <v>375</v>
      </c>
      <c r="K296" s="115" t="s">
        <v>23</v>
      </c>
      <c r="L296" s="117" t="s">
        <v>24</v>
      </c>
      <c r="M296" s="66">
        <v>308476</v>
      </c>
      <c r="N296" s="66">
        <v>4264</v>
      </c>
      <c r="O296" s="66">
        <v>104882</v>
      </c>
      <c r="P296" s="66">
        <v>413357</v>
      </c>
      <c r="Q296" s="67">
        <v>0.4</v>
      </c>
      <c r="R296" s="66">
        <v>165343</v>
      </c>
      <c r="S296" s="66">
        <v>578700</v>
      </c>
      <c r="T296" s="106">
        <f>IF(A296="Upgrade",IF(OR(H296=4,H296=5),_xlfn.XLOOKUP(I296,'Renewal Rates'!$A$22:$A$27,'Renewal Rates'!$B$22:$B$27,'Renewal Rates'!$B$27,0),'Renewal Rates'!$F$7),IF(A296="Renewal",100%,0%))</f>
        <v>2.6599999999999999E-2</v>
      </c>
      <c r="U296" s="68">
        <f t="shared" si="4"/>
        <v>15393.42</v>
      </c>
    </row>
    <row r="297" spans="1:21" s="41" customFormat="1" ht="13.8" x14ac:dyDescent="0.3">
      <c r="A297" s="115" t="s">
        <v>21</v>
      </c>
      <c r="B297" s="116">
        <v>3000007133</v>
      </c>
      <c r="C297" s="116">
        <v>9.0139999999999993</v>
      </c>
      <c r="D297" s="117">
        <v>20.399999999999999</v>
      </c>
      <c r="E297" s="117"/>
      <c r="F297" s="117">
        <v>450</v>
      </c>
      <c r="G297" s="117">
        <v>750</v>
      </c>
      <c r="H297" s="123"/>
      <c r="I297" s="117" t="s">
        <v>122</v>
      </c>
      <c r="J297" s="115">
        <v>375</v>
      </c>
      <c r="K297" s="115" t="s">
        <v>23</v>
      </c>
      <c r="L297" s="117" t="s">
        <v>24</v>
      </c>
      <c r="M297" s="66">
        <v>116094</v>
      </c>
      <c r="N297" s="66">
        <v>5704</v>
      </c>
      <c r="O297" s="66">
        <v>39472</v>
      </c>
      <c r="P297" s="66">
        <v>155566</v>
      </c>
      <c r="Q297" s="67">
        <v>0.4</v>
      </c>
      <c r="R297" s="66">
        <v>62226</v>
      </c>
      <c r="S297" s="66">
        <v>217792</v>
      </c>
      <c r="T297" s="106">
        <f>IF(A297="Upgrade",IF(OR(H297=4,H297=5),_xlfn.XLOOKUP(I297,'Renewal Rates'!$A$22:$A$27,'Renewal Rates'!$B$22:$B$27,'Renewal Rates'!$B$27,0),'Renewal Rates'!$F$7),IF(A297="Renewal",100%,0%))</f>
        <v>2.6599999999999999E-2</v>
      </c>
      <c r="U297" s="68">
        <f t="shared" si="4"/>
        <v>5793.2671999999993</v>
      </c>
    </row>
    <row r="298" spans="1:21" s="41" customFormat="1" ht="13.8" x14ac:dyDescent="0.3">
      <c r="A298" s="115" t="s">
        <v>21</v>
      </c>
      <c r="B298" s="116">
        <v>2000621128</v>
      </c>
      <c r="C298" s="116">
        <v>9.0129999999999999</v>
      </c>
      <c r="D298" s="117">
        <v>62.9</v>
      </c>
      <c r="E298" s="117"/>
      <c r="F298" s="117">
        <v>225</v>
      </c>
      <c r="G298" s="117">
        <v>525</v>
      </c>
      <c r="H298" s="123"/>
      <c r="I298" s="117" t="s">
        <v>122</v>
      </c>
      <c r="J298" s="115">
        <v>375</v>
      </c>
      <c r="K298" s="115" t="s">
        <v>23</v>
      </c>
      <c r="L298" s="117" t="s">
        <v>24</v>
      </c>
      <c r="M298" s="66">
        <v>195501</v>
      </c>
      <c r="N298" s="66">
        <v>3106</v>
      </c>
      <c r="O298" s="66">
        <v>66470</v>
      </c>
      <c r="P298" s="66">
        <v>261971</v>
      </c>
      <c r="Q298" s="67">
        <v>0.4</v>
      </c>
      <c r="R298" s="66">
        <v>104788</v>
      </c>
      <c r="S298" s="66">
        <v>366759</v>
      </c>
      <c r="T298" s="106">
        <f>IF(A298="Upgrade",IF(OR(H298=4,H298=5),_xlfn.XLOOKUP(I298,'Renewal Rates'!$A$22:$A$27,'Renewal Rates'!$B$22:$B$27,'Renewal Rates'!$B$27,0),'Renewal Rates'!$F$7),IF(A298="Renewal",100%,0%))</f>
        <v>2.6599999999999999E-2</v>
      </c>
      <c r="U298" s="68">
        <f t="shared" si="4"/>
        <v>9755.7893999999997</v>
      </c>
    </row>
    <row r="299" spans="1:21" s="41" customFormat="1" ht="13.8" x14ac:dyDescent="0.3">
      <c r="A299" s="115" t="s">
        <v>21</v>
      </c>
      <c r="B299" s="116">
        <v>3000098016</v>
      </c>
      <c r="C299" s="116">
        <v>9.0129999999999999</v>
      </c>
      <c r="D299" s="117">
        <v>3.3</v>
      </c>
      <c r="E299" s="117"/>
      <c r="F299" s="117">
        <v>225</v>
      </c>
      <c r="G299" s="117">
        <v>525</v>
      </c>
      <c r="H299" s="123"/>
      <c r="I299" s="117" t="s">
        <v>122</v>
      </c>
      <c r="J299" s="115">
        <v>375</v>
      </c>
      <c r="K299" s="115" t="s">
        <v>23</v>
      </c>
      <c r="L299" s="117" t="s">
        <v>24</v>
      </c>
      <c r="M299" s="66">
        <v>63146</v>
      </c>
      <c r="N299" s="66">
        <v>19409</v>
      </c>
      <c r="O299" s="66">
        <v>21470</v>
      </c>
      <c r="P299" s="66">
        <v>84615</v>
      </c>
      <c r="Q299" s="67">
        <v>0.4</v>
      </c>
      <c r="R299" s="66">
        <v>33846</v>
      </c>
      <c r="S299" s="66">
        <v>118462</v>
      </c>
      <c r="T299" s="106">
        <f>IF(A299="Upgrade",IF(OR(H299=4,H299=5),_xlfn.XLOOKUP(I299,'Renewal Rates'!$A$22:$A$27,'Renewal Rates'!$B$22:$B$27,'Renewal Rates'!$B$27,0),'Renewal Rates'!$F$7),IF(A299="Renewal",100%,0%))</f>
        <v>2.6599999999999999E-2</v>
      </c>
      <c r="U299" s="68">
        <f t="shared" si="4"/>
        <v>3151.0891999999999</v>
      </c>
    </row>
    <row r="300" spans="1:21" s="41" customFormat="1" ht="13.8" x14ac:dyDescent="0.3">
      <c r="A300" s="115" t="s">
        <v>25</v>
      </c>
      <c r="B300" s="116" t="s">
        <v>22</v>
      </c>
      <c r="C300" s="116">
        <v>9.0060000000000002</v>
      </c>
      <c r="D300" s="117"/>
      <c r="E300" s="117">
        <v>40.6</v>
      </c>
      <c r="F300" s="117"/>
      <c r="G300" s="117">
        <v>375</v>
      </c>
      <c r="H300" s="123"/>
      <c r="I300" s="117" t="s">
        <v>122</v>
      </c>
      <c r="J300" s="115">
        <v>375</v>
      </c>
      <c r="K300" s="115" t="s">
        <v>23</v>
      </c>
      <c r="L300" s="117" t="s">
        <v>24</v>
      </c>
      <c r="M300" s="66">
        <v>93359</v>
      </c>
      <c r="N300" s="66">
        <v>2297</v>
      </c>
      <c r="O300" s="66">
        <v>31742</v>
      </c>
      <c r="P300" s="66">
        <v>125102</v>
      </c>
      <c r="Q300" s="67">
        <v>0.4</v>
      </c>
      <c r="R300" s="66">
        <v>50041</v>
      </c>
      <c r="S300" s="66">
        <v>175142</v>
      </c>
      <c r="T300" s="106">
        <f>IF(A300="Upgrade",IF(OR(H300=4,H300=5),_xlfn.XLOOKUP(I300,'Renewal Rates'!$A$22:$A$27,'Renewal Rates'!$B$22:$B$27,'Renewal Rates'!$B$27,0),'Renewal Rates'!$F$7),IF(A300="Renewal",100%,0%))</f>
        <v>0</v>
      </c>
      <c r="U300" s="68">
        <f t="shared" si="4"/>
        <v>0</v>
      </c>
    </row>
    <row r="301" spans="1:21" s="41" customFormat="1" ht="13.8" x14ac:dyDescent="0.3">
      <c r="A301" s="115" t="s">
        <v>21</v>
      </c>
      <c r="B301" s="116">
        <v>2000718892</v>
      </c>
      <c r="C301" s="116">
        <v>10.021000000000001</v>
      </c>
      <c r="D301" s="117">
        <v>19.8</v>
      </c>
      <c r="E301" s="117"/>
      <c r="F301" s="117">
        <v>375</v>
      </c>
      <c r="G301" s="117">
        <v>375</v>
      </c>
      <c r="H301" s="123"/>
      <c r="I301" s="117" t="s">
        <v>122</v>
      </c>
      <c r="J301" s="115">
        <v>376</v>
      </c>
      <c r="K301" s="115" t="s">
        <v>23</v>
      </c>
      <c r="L301" s="117" t="s">
        <v>24</v>
      </c>
      <c r="M301" s="66">
        <v>78893</v>
      </c>
      <c r="N301" s="66">
        <v>3986</v>
      </c>
      <c r="O301" s="66">
        <v>26823</v>
      </c>
      <c r="P301" s="66">
        <v>105716</v>
      </c>
      <c r="Q301" s="67">
        <v>0.4</v>
      </c>
      <c r="R301" s="66">
        <v>42286</v>
      </c>
      <c r="S301" s="66">
        <v>148002</v>
      </c>
      <c r="T301" s="106">
        <f>IF(A301="Upgrade",IF(OR(H301=4,H301=5),_xlfn.XLOOKUP(I301,'Renewal Rates'!$A$22:$A$27,'Renewal Rates'!$B$22:$B$27,'Renewal Rates'!$B$27,0),'Renewal Rates'!$F$7),IF(A301="Renewal",100%,0%))</f>
        <v>2.6599999999999999E-2</v>
      </c>
      <c r="U301" s="68">
        <f t="shared" si="4"/>
        <v>3936.8532</v>
      </c>
    </row>
    <row r="302" spans="1:21" s="41" customFormat="1" ht="13.8" x14ac:dyDescent="0.3">
      <c r="A302" s="115" t="s">
        <v>21</v>
      </c>
      <c r="B302" s="116">
        <v>2000423931</v>
      </c>
      <c r="C302" s="116">
        <v>10.021000000000001</v>
      </c>
      <c r="D302" s="117">
        <v>20.2</v>
      </c>
      <c r="E302" s="117"/>
      <c r="F302" s="117">
        <v>300</v>
      </c>
      <c r="G302" s="117">
        <v>375</v>
      </c>
      <c r="H302" s="123"/>
      <c r="I302" s="117" t="s">
        <v>122</v>
      </c>
      <c r="J302" s="115">
        <v>376</v>
      </c>
      <c r="K302" s="115" t="s">
        <v>23</v>
      </c>
      <c r="L302" s="117" t="s">
        <v>24</v>
      </c>
      <c r="M302" s="66">
        <v>65884</v>
      </c>
      <c r="N302" s="66">
        <v>3254</v>
      </c>
      <c r="O302" s="66">
        <v>22400</v>
      </c>
      <c r="P302" s="66">
        <v>88284</v>
      </c>
      <c r="Q302" s="67">
        <v>0.4</v>
      </c>
      <c r="R302" s="66">
        <v>35314</v>
      </c>
      <c r="S302" s="66">
        <v>123598</v>
      </c>
      <c r="T302" s="106">
        <f>IF(A302="Upgrade",IF(OR(H302=4,H302=5),_xlfn.XLOOKUP(I302,'Renewal Rates'!$A$22:$A$27,'Renewal Rates'!$B$22:$B$27,'Renewal Rates'!$B$27,0),'Renewal Rates'!$F$7),IF(A302="Renewal",100%,0%))</f>
        <v>2.6599999999999999E-2</v>
      </c>
      <c r="U302" s="68">
        <f t="shared" si="4"/>
        <v>3287.7067999999999</v>
      </c>
    </row>
    <row r="303" spans="1:21" s="41" customFormat="1" ht="13.8" x14ac:dyDescent="0.3">
      <c r="A303" s="115" t="s">
        <v>21</v>
      </c>
      <c r="B303" s="116">
        <v>2000728280</v>
      </c>
      <c r="C303" s="116">
        <v>10.021000000000001</v>
      </c>
      <c r="D303" s="117">
        <v>29.2</v>
      </c>
      <c r="E303" s="117"/>
      <c r="F303" s="117">
        <v>300</v>
      </c>
      <c r="G303" s="117">
        <v>375</v>
      </c>
      <c r="H303" s="123"/>
      <c r="I303" s="117" t="s">
        <v>122</v>
      </c>
      <c r="J303" s="115">
        <v>376</v>
      </c>
      <c r="K303" s="115" t="s">
        <v>23</v>
      </c>
      <c r="L303" s="117" t="s">
        <v>24</v>
      </c>
      <c r="M303" s="66">
        <v>70849</v>
      </c>
      <c r="N303" s="66">
        <v>2425</v>
      </c>
      <c r="O303" s="66">
        <v>24089</v>
      </c>
      <c r="P303" s="66">
        <v>94938</v>
      </c>
      <c r="Q303" s="67">
        <v>0.4</v>
      </c>
      <c r="R303" s="66">
        <v>37975</v>
      </c>
      <c r="S303" s="66">
        <v>132913</v>
      </c>
      <c r="T303" s="106">
        <f>IF(A303="Upgrade",IF(OR(H303=4,H303=5),_xlfn.XLOOKUP(I303,'Renewal Rates'!$A$22:$A$27,'Renewal Rates'!$B$22:$B$27,'Renewal Rates'!$B$27,0),'Renewal Rates'!$F$7),IF(A303="Renewal",100%,0%))</f>
        <v>2.6599999999999999E-2</v>
      </c>
      <c r="U303" s="68">
        <f t="shared" si="4"/>
        <v>3535.4857999999999</v>
      </c>
    </row>
    <row r="304" spans="1:21" s="41" customFormat="1" ht="13.8" x14ac:dyDescent="0.3">
      <c r="A304" s="115" t="s">
        <v>21</v>
      </c>
      <c r="B304" s="116">
        <v>2000121653</v>
      </c>
      <c r="C304" s="116">
        <v>10.021000000000001</v>
      </c>
      <c r="D304" s="117">
        <v>37.6</v>
      </c>
      <c r="E304" s="117"/>
      <c r="F304" s="117">
        <v>225</v>
      </c>
      <c r="G304" s="117">
        <v>375</v>
      </c>
      <c r="H304" s="123"/>
      <c r="I304" s="117" t="s">
        <v>122</v>
      </c>
      <c r="J304" s="115">
        <v>376</v>
      </c>
      <c r="K304" s="115" t="s">
        <v>23</v>
      </c>
      <c r="L304" s="117" t="s">
        <v>24</v>
      </c>
      <c r="M304" s="66">
        <v>91654</v>
      </c>
      <c r="N304" s="66">
        <v>2440</v>
      </c>
      <c r="O304" s="66">
        <v>31162</v>
      </c>
      <c r="P304" s="66">
        <v>122816</v>
      </c>
      <c r="Q304" s="67">
        <v>0.4</v>
      </c>
      <c r="R304" s="66">
        <v>49127</v>
      </c>
      <c r="S304" s="66">
        <v>171943</v>
      </c>
      <c r="T304" s="106">
        <f>IF(A304="Upgrade",IF(OR(H304=4,H304=5),_xlfn.XLOOKUP(I304,'Renewal Rates'!$A$22:$A$27,'Renewal Rates'!$B$22:$B$27,'Renewal Rates'!$B$27,0),'Renewal Rates'!$F$7),IF(A304="Renewal",100%,0%))</f>
        <v>2.6599999999999999E-2</v>
      </c>
      <c r="U304" s="68">
        <f t="shared" si="4"/>
        <v>4573.6837999999998</v>
      </c>
    </row>
    <row r="305" spans="1:21" s="41" customFormat="1" ht="13.8" x14ac:dyDescent="0.3">
      <c r="A305" s="115" t="s">
        <v>21</v>
      </c>
      <c r="B305" s="116">
        <v>2000728242</v>
      </c>
      <c r="C305" s="116">
        <v>10.013999999999999</v>
      </c>
      <c r="D305" s="117">
        <v>71.599999999999994</v>
      </c>
      <c r="E305" s="117"/>
      <c r="F305" s="117">
        <v>900</v>
      </c>
      <c r="G305" s="117">
        <v>1350</v>
      </c>
      <c r="H305" s="123">
        <v>5</v>
      </c>
      <c r="I305" s="117">
        <v>2</v>
      </c>
      <c r="J305" s="115">
        <v>376</v>
      </c>
      <c r="K305" s="115" t="s">
        <v>23</v>
      </c>
      <c r="L305" s="117" t="s">
        <v>24</v>
      </c>
      <c r="M305" s="69">
        <v>563135</v>
      </c>
      <c r="N305" s="69">
        <v>7863</v>
      </c>
      <c r="O305" s="69">
        <v>181611</v>
      </c>
      <c r="P305" s="69">
        <v>715760</v>
      </c>
      <c r="Q305" s="70">
        <v>0.4</v>
      </c>
      <c r="R305" s="69">
        <v>286304</v>
      </c>
      <c r="S305" s="69">
        <v>1002064</v>
      </c>
      <c r="T305" s="106">
        <f>IF(A305="Upgrade",IF(OR(H305=4,H305=5),_xlfn.XLOOKUP(I305,'Renewal Rates'!$A$22:$A$27,'Renewal Rates'!$B$22:$B$27,'Renewal Rates'!$B$27,0),'Renewal Rates'!$F$7),IF(A305="Renewal",100%,0%))</f>
        <v>0</v>
      </c>
      <c r="U305" s="68">
        <f t="shared" si="4"/>
        <v>0</v>
      </c>
    </row>
    <row r="306" spans="1:21" s="41" customFormat="1" ht="13.8" x14ac:dyDescent="0.3">
      <c r="A306" s="115" t="s">
        <v>21</v>
      </c>
      <c r="B306" s="116">
        <v>2000430954</v>
      </c>
      <c r="C306" s="116">
        <v>10.013999999999999</v>
      </c>
      <c r="D306" s="117">
        <v>65.400000000000006</v>
      </c>
      <c r="E306" s="117"/>
      <c r="F306" s="117">
        <v>900</v>
      </c>
      <c r="G306" s="117">
        <v>1350</v>
      </c>
      <c r="H306" s="123">
        <v>4</v>
      </c>
      <c r="I306" s="117">
        <v>3</v>
      </c>
      <c r="J306" s="115">
        <v>376</v>
      </c>
      <c r="K306" s="115" t="s">
        <v>23</v>
      </c>
      <c r="L306" s="117" t="s">
        <v>24</v>
      </c>
      <c r="M306" s="69">
        <v>488745</v>
      </c>
      <c r="N306" s="69">
        <v>7469</v>
      </c>
      <c r="O306" s="69">
        <v>168217</v>
      </c>
      <c r="P306" s="69">
        <v>662973</v>
      </c>
      <c r="Q306" s="70">
        <v>0.4</v>
      </c>
      <c r="R306" s="69">
        <v>265189</v>
      </c>
      <c r="S306" s="69">
        <v>928163</v>
      </c>
      <c r="T306" s="106">
        <f>IF(A306="Upgrade",IF(OR(H306=4,H306=5),_xlfn.XLOOKUP(I306,'Renewal Rates'!$A$22:$A$27,'Renewal Rates'!$B$22:$B$27,'Renewal Rates'!$B$27,0),'Renewal Rates'!$F$7),IF(A306="Renewal",100%,0%))</f>
        <v>0.21</v>
      </c>
      <c r="U306" s="68">
        <f t="shared" si="4"/>
        <v>194914.22999999998</v>
      </c>
    </row>
    <row r="307" spans="1:21" s="41" customFormat="1" ht="13.8" x14ac:dyDescent="0.3">
      <c r="A307" s="115" t="s">
        <v>21</v>
      </c>
      <c r="B307" s="116">
        <v>2000063818</v>
      </c>
      <c r="C307" s="116">
        <v>10.013999999999999</v>
      </c>
      <c r="D307" s="117">
        <v>20.5</v>
      </c>
      <c r="E307" s="117"/>
      <c r="F307" s="117">
        <v>900</v>
      </c>
      <c r="G307" s="117">
        <v>1350</v>
      </c>
      <c r="H307" s="123"/>
      <c r="I307" s="117" t="s">
        <v>122</v>
      </c>
      <c r="J307" s="115">
        <v>376</v>
      </c>
      <c r="K307" s="115" t="s">
        <v>23</v>
      </c>
      <c r="L307" s="117" t="s">
        <v>24</v>
      </c>
      <c r="M307" s="69">
        <v>176612</v>
      </c>
      <c r="N307" s="69">
        <v>8634</v>
      </c>
      <c r="O307" s="69">
        <v>58370</v>
      </c>
      <c r="P307" s="69">
        <v>230046</v>
      </c>
      <c r="Q307" s="70">
        <v>0.4</v>
      </c>
      <c r="R307" s="69">
        <v>92018</v>
      </c>
      <c r="S307" s="69">
        <v>322065</v>
      </c>
      <c r="T307" s="106">
        <f>IF(A307="Upgrade",IF(OR(H307=4,H307=5),_xlfn.XLOOKUP(I307,'Renewal Rates'!$A$22:$A$27,'Renewal Rates'!$B$22:$B$27,'Renewal Rates'!$B$27,0),'Renewal Rates'!$F$7),IF(A307="Renewal",100%,0%))</f>
        <v>2.6599999999999999E-2</v>
      </c>
      <c r="U307" s="68">
        <f t="shared" si="4"/>
        <v>8566.9290000000001</v>
      </c>
    </row>
    <row r="308" spans="1:21" s="41" customFormat="1" ht="13.8" x14ac:dyDescent="0.3">
      <c r="A308" s="115" t="s">
        <v>21</v>
      </c>
      <c r="B308" s="116">
        <v>2000849575</v>
      </c>
      <c r="C308" s="116">
        <v>10.013999999999999</v>
      </c>
      <c r="D308" s="117">
        <v>48.2</v>
      </c>
      <c r="E308" s="117"/>
      <c r="F308" s="117">
        <v>900</v>
      </c>
      <c r="G308" s="117">
        <v>1350</v>
      </c>
      <c r="H308" s="123"/>
      <c r="I308" s="117" t="s">
        <v>122</v>
      </c>
      <c r="J308" s="115">
        <v>376</v>
      </c>
      <c r="K308" s="115" t="s">
        <v>23</v>
      </c>
      <c r="L308" s="117" t="s">
        <v>24</v>
      </c>
      <c r="M308" s="69">
        <v>347106</v>
      </c>
      <c r="N308" s="69">
        <v>7197</v>
      </c>
      <c r="O308" s="69">
        <v>122453</v>
      </c>
      <c r="P308" s="69">
        <v>482607</v>
      </c>
      <c r="Q308" s="70">
        <v>0.4</v>
      </c>
      <c r="R308" s="69">
        <v>193043</v>
      </c>
      <c r="S308" s="69">
        <v>675650</v>
      </c>
      <c r="T308" s="106">
        <f>IF(A308="Upgrade",IF(OR(H308=4,H308=5),_xlfn.XLOOKUP(I308,'Renewal Rates'!$A$22:$A$27,'Renewal Rates'!$B$22:$B$27,'Renewal Rates'!$B$27,0),'Renewal Rates'!$F$7),IF(A308="Renewal",100%,0%))</f>
        <v>2.6599999999999999E-2</v>
      </c>
      <c r="U308" s="68">
        <f t="shared" si="4"/>
        <v>17972.29</v>
      </c>
    </row>
    <row r="309" spans="1:21" s="41" customFormat="1" ht="13.8" x14ac:dyDescent="0.3">
      <c r="A309" s="115" t="s">
        <v>25</v>
      </c>
      <c r="B309" s="116" t="s">
        <v>22</v>
      </c>
      <c r="C309" s="116">
        <v>10.009</v>
      </c>
      <c r="D309" s="117"/>
      <c r="E309" s="117">
        <v>222.9</v>
      </c>
      <c r="F309" s="117"/>
      <c r="G309" s="117">
        <v>525</v>
      </c>
      <c r="H309" s="123"/>
      <c r="I309" s="117" t="s">
        <v>122</v>
      </c>
      <c r="J309" s="115">
        <v>376</v>
      </c>
      <c r="K309" s="115" t="s">
        <v>23</v>
      </c>
      <c r="L309" s="117" t="s">
        <v>24</v>
      </c>
      <c r="M309" s="66">
        <v>644413</v>
      </c>
      <c r="N309" s="66">
        <v>2891</v>
      </c>
      <c r="O309" s="66">
        <v>219100</v>
      </c>
      <c r="P309" s="66">
        <v>863513</v>
      </c>
      <c r="Q309" s="67">
        <v>0.4</v>
      </c>
      <c r="R309" s="66">
        <v>345405</v>
      </c>
      <c r="S309" s="66">
        <v>1208918</v>
      </c>
      <c r="T309" s="106">
        <f>IF(A309="Upgrade",IF(OR(H309=4,H309=5),_xlfn.XLOOKUP(I309,'Renewal Rates'!$A$22:$A$27,'Renewal Rates'!$B$22:$B$27,'Renewal Rates'!$B$27,0),'Renewal Rates'!$F$7),IF(A309="Renewal",100%,0%))</f>
        <v>0</v>
      </c>
      <c r="U309" s="68">
        <f t="shared" si="4"/>
        <v>0</v>
      </c>
    </row>
    <row r="310" spans="1:21" s="41" customFormat="1" ht="13.8" x14ac:dyDescent="0.3">
      <c r="A310" s="115" t="s">
        <v>25</v>
      </c>
      <c r="B310" s="116" t="s">
        <v>22</v>
      </c>
      <c r="C310" s="116">
        <v>10.007999999999999</v>
      </c>
      <c r="D310" s="117"/>
      <c r="E310" s="117">
        <v>89.6</v>
      </c>
      <c r="F310" s="117"/>
      <c r="G310" s="117">
        <v>525</v>
      </c>
      <c r="H310" s="123"/>
      <c r="I310" s="117" t="s">
        <v>122</v>
      </c>
      <c r="J310" s="115">
        <v>376</v>
      </c>
      <c r="K310" s="115" t="s">
        <v>23</v>
      </c>
      <c r="L310" s="117" t="s">
        <v>24</v>
      </c>
      <c r="M310" s="66">
        <v>257639</v>
      </c>
      <c r="N310" s="66">
        <v>2876</v>
      </c>
      <c r="O310" s="66">
        <v>87597</v>
      </c>
      <c r="P310" s="66">
        <v>345237</v>
      </c>
      <c r="Q310" s="67">
        <v>0.4</v>
      </c>
      <c r="R310" s="66">
        <v>138095</v>
      </c>
      <c r="S310" s="66">
        <v>483332</v>
      </c>
      <c r="T310" s="106">
        <f>IF(A310="Upgrade",IF(OR(H310=4,H310=5),_xlfn.XLOOKUP(I310,'Renewal Rates'!$A$22:$A$27,'Renewal Rates'!$B$22:$B$27,'Renewal Rates'!$B$27,0),'Renewal Rates'!$F$7),IF(A310="Renewal",100%,0%))</f>
        <v>0</v>
      </c>
      <c r="U310" s="68">
        <f t="shared" si="4"/>
        <v>0</v>
      </c>
    </row>
    <row r="311" spans="1:21" s="41" customFormat="1" ht="13.8" x14ac:dyDescent="0.3">
      <c r="A311" s="115" t="s">
        <v>25</v>
      </c>
      <c r="B311" s="116" t="s">
        <v>22</v>
      </c>
      <c r="C311" s="116">
        <v>10.006</v>
      </c>
      <c r="D311" s="117"/>
      <c r="E311" s="117">
        <v>139.4</v>
      </c>
      <c r="F311" s="117"/>
      <c r="G311" s="117">
        <v>525</v>
      </c>
      <c r="H311" s="123"/>
      <c r="I311" s="117" t="s">
        <v>122</v>
      </c>
      <c r="J311" s="115">
        <v>377</v>
      </c>
      <c r="K311" s="115" t="s">
        <v>23</v>
      </c>
      <c r="L311" s="117" t="s">
        <v>24</v>
      </c>
      <c r="M311" s="66">
        <v>397760</v>
      </c>
      <c r="N311" s="66">
        <v>2853</v>
      </c>
      <c r="O311" s="66">
        <v>135238</v>
      </c>
      <c r="P311" s="66">
        <v>532999</v>
      </c>
      <c r="Q311" s="67">
        <v>0.4</v>
      </c>
      <c r="R311" s="66">
        <v>213199</v>
      </c>
      <c r="S311" s="66">
        <v>746198</v>
      </c>
      <c r="T311" s="106">
        <f>IF(A311="Upgrade",IF(OR(H311=4,H311=5),_xlfn.XLOOKUP(I311,'Renewal Rates'!$A$22:$A$27,'Renewal Rates'!$B$22:$B$27,'Renewal Rates'!$B$27,0),'Renewal Rates'!$F$7),IF(A311="Renewal",100%,0%))</f>
        <v>0</v>
      </c>
      <c r="U311" s="68">
        <f t="shared" si="4"/>
        <v>0</v>
      </c>
    </row>
    <row r="312" spans="1:21" s="41" customFormat="1" ht="13.8" x14ac:dyDescent="0.3">
      <c r="A312" s="115" t="s">
        <v>21</v>
      </c>
      <c r="B312" s="116">
        <v>2000952333</v>
      </c>
      <c r="C312" s="116">
        <v>10.02</v>
      </c>
      <c r="D312" s="117">
        <v>30.4</v>
      </c>
      <c r="E312" s="117"/>
      <c r="F312" s="117">
        <v>375</v>
      </c>
      <c r="G312" s="117">
        <v>675</v>
      </c>
      <c r="H312" s="123"/>
      <c r="I312" s="117" t="s">
        <v>122</v>
      </c>
      <c r="J312" s="115">
        <v>377</v>
      </c>
      <c r="K312" s="115" t="s">
        <v>23</v>
      </c>
      <c r="L312" s="117" t="s">
        <v>24</v>
      </c>
      <c r="M312" s="66">
        <v>125264</v>
      </c>
      <c r="N312" s="66">
        <v>4120</v>
      </c>
      <c r="O312" s="66">
        <v>42590</v>
      </c>
      <c r="P312" s="66">
        <v>167854</v>
      </c>
      <c r="Q312" s="67">
        <v>0.4</v>
      </c>
      <c r="R312" s="66">
        <v>67142</v>
      </c>
      <c r="S312" s="66">
        <v>234996</v>
      </c>
      <c r="T312" s="106">
        <f>IF(A312="Upgrade",IF(OR(H312=4,H312=5),_xlfn.XLOOKUP(I312,'Renewal Rates'!$A$22:$A$27,'Renewal Rates'!$B$22:$B$27,'Renewal Rates'!$B$27,0),'Renewal Rates'!$F$7),IF(A312="Renewal",100%,0%))</f>
        <v>2.6599999999999999E-2</v>
      </c>
      <c r="U312" s="68">
        <f t="shared" si="4"/>
        <v>6250.8935999999994</v>
      </c>
    </row>
    <row r="313" spans="1:21" s="41" customFormat="1" ht="13.8" x14ac:dyDescent="0.3">
      <c r="A313" s="115" t="s">
        <v>21</v>
      </c>
      <c r="B313" s="116">
        <v>2000518317</v>
      </c>
      <c r="C313" s="116">
        <v>10.02</v>
      </c>
      <c r="D313" s="117">
        <v>81.2</v>
      </c>
      <c r="E313" s="117"/>
      <c r="F313" s="117">
        <v>375</v>
      </c>
      <c r="G313" s="117">
        <v>675</v>
      </c>
      <c r="H313" s="123">
        <v>4</v>
      </c>
      <c r="I313" s="117">
        <v>3</v>
      </c>
      <c r="J313" s="115">
        <v>377</v>
      </c>
      <c r="K313" s="115" t="s">
        <v>23</v>
      </c>
      <c r="L313" s="117" t="s">
        <v>24</v>
      </c>
      <c r="M313" s="66">
        <v>308183</v>
      </c>
      <c r="N313" s="66">
        <v>3796</v>
      </c>
      <c r="O313" s="66">
        <v>104782</v>
      </c>
      <c r="P313" s="66">
        <v>412965</v>
      </c>
      <c r="Q313" s="67">
        <v>0.4</v>
      </c>
      <c r="R313" s="66">
        <v>165186</v>
      </c>
      <c r="S313" s="66">
        <v>578150</v>
      </c>
      <c r="T313" s="106">
        <f>IF(A313="Upgrade",IF(OR(H313=4,H313=5),_xlfn.XLOOKUP(I313,'Renewal Rates'!$A$22:$A$27,'Renewal Rates'!$B$22:$B$27,'Renewal Rates'!$B$27,0),'Renewal Rates'!$F$7),IF(A313="Renewal",100%,0%))</f>
        <v>0.21</v>
      </c>
      <c r="U313" s="68">
        <f t="shared" si="4"/>
        <v>121411.5</v>
      </c>
    </row>
    <row r="314" spans="1:21" s="41" customFormat="1" ht="13.8" x14ac:dyDescent="0.3">
      <c r="A314" s="115" t="s">
        <v>21</v>
      </c>
      <c r="B314" s="116">
        <v>2000717733</v>
      </c>
      <c r="C314" s="116">
        <v>10.019</v>
      </c>
      <c r="D314" s="117">
        <v>90.6</v>
      </c>
      <c r="E314" s="117"/>
      <c r="F314" s="117">
        <v>300</v>
      </c>
      <c r="G314" s="117">
        <v>675</v>
      </c>
      <c r="H314" s="123"/>
      <c r="I314" s="117" t="s">
        <v>122</v>
      </c>
      <c r="J314" s="115">
        <v>377</v>
      </c>
      <c r="K314" s="115" t="s">
        <v>23</v>
      </c>
      <c r="L314" s="117" t="s">
        <v>24</v>
      </c>
      <c r="M314" s="66">
        <v>338849</v>
      </c>
      <c r="N314" s="66">
        <v>3741</v>
      </c>
      <c r="O314" s="66">
        <v>115209</v>
      </c>
      <c r="P314" s="66">
        <v>454058</v>
      </c>
      <c r="Q314" s="67">
        <v>0.4</v>
      </c>
      <c r="R314" s="66">
        <v>181623</v>
      </c>
      <c r="S314" s="66">
        <v>635681</v>
      </c>
      <c r="T314" s="106">
        <f>IF(A314="Upgrade",IF(OR(H314=4,H314=5),_xlfn.XLOOKUP(I314,'Renewal Rates'!$A$22:$A$27,'Renewal Rates'!$B$22:$B$27,'Renewal Rates'!$B$27,0),'Renewal Rates'!$F$7),IF(A314="Renewal",100%,0%))</f>
        <v>2.6599999999999999E-2</v>
      </c>
      <c r="U314" s="68">
        <f t="shared" si="4"/>
        <v>16909.114600000001</v>
      </c>
    </row>
    <row r="315" spans="1:21" s="41" customFormat="1" ht="13.8" x14ac:dyDescent="0.3">
      <c r="A315" s="115" t="s">
        <v>21</v>
      </c>
      <c r="B315" s="116">
        <v>2000937313</v>
      </c>
      <c r="C315" s="116">
        <v>10.018000000000001</v>
      </c>
      <c r="D315" s="117">
        <v>91</v>
      </c>
      <c r="E315" s="117"/>
      <c r="F315" s="117">
        <v>225</v>
      </c>
      <c r="G315" s="117">
        <v>600</v>
      </c>
      <c r="H315" s="123"/>
      <c r="I315" s="117" t="s">
        <v>122</v>
      </c>
      <c r="J315" s="115">
        <v>377</v>
      </c>
      <c r="K315" s="115" t="s">
        <v>23</v>
      </c>
      <c r="L315" s="117" t="s">
        <v>24</v>
      </c>
      <c r="M315" s="66">
        <v>292051</v>
      </c>
      <c r="N315" s="66">
        <v>3209</v>
      </c>
      <c r="O315" s="66">
        <v>99297</v>
      </c>
      <c r="P315" s="66">
        <v>391348</v>
      </c>
      <c r="Q315" s="67">
        <v>0.4</v>
      </c>
      <c r="R315" s="66">
        <v>156539</v>
      </c>
      <c r="S315" s="66">
        <v>547888</v>
      </c>
      <c r="T315" s="106">
        <f>IF(A315="Upgrade",IF(OR(H315=4,H315=5),_xlfn.XLOOKUP(I315,'Renewal Rates'!$A$22:$A$27,'Renewal Rates'!$B$22:$B$27,'Renewal Rates'!$B$27,0),'Renewal Rates'!$F$7),IF(A315="Renewal",100%,0%))</f>
        <v>2.6599999999999999E-2</v>
      </c>
      <c r="U315" s="68">
        <f t="shared" si="4"/>
        <v>14573.8208</v>
      </c>
    </row>
    <row r="316" spans="1:21" s="41" customFormat="1" ht="13.8" x14ac:dyDescent="0.3">
      <c r="A316" s="115" t="s">
        <v>25</v>
      </c>
      <c r="B316" s="116" t="s">
        <v>22</v>
      </c>
      <c r="C316" s="116">
        <v>10.005000000000001</v>
      </c>
      <c r="D316" s="117"/>
      <c r="E316" s="117">
        <v>89.4</v>
      </c>
      <c r="F316" s="117"/>
      <c r="G316" s="117">
        <v>525</v>
      </c>
      <c r="H316" s="123"/>
      <c r="I316" s="117" t="s">
        <v>122</v>
      </c>
      <c r="J316" s="115">
        <v>377</v>
      </c>
      <c r="K316" s="115" t="s">
        <v>23</v>
      </c>
      <c r="L316" s="117" t="s">
        <v>24</v>
      </c>
      <c r="M316" s="66">
        <v>257423</v>
      </c>
      <c r="N316" s="66">
        <v>2881</v>
      </c>
      <c r="O316" s="66">
        <v>87524</v>
      </c>
      <c r="P316" s="66">
        <v>344947</v>
      </c>
      <c r="Q316" s="67">
        <v>0.4</v>
      </c>
      <c r="R316" s="66">
        <v>137979</v>
      </c>
      <c r="S316" s="66">
        <v>482926</v>
      </c>
      <c r="T316" s="106">
        <f>IF(A316="Upgrade",IF(OR(H316=4,H316=5),_xlfn.XLOOKUP(I316,'Renewal Rates'!$A$22:$A$27,'Renewal Rates'!$B$22:$B$27,'Renewal Rates'!$B$27,0),'Renewal Rates'!$F$7),IF(A316="Renewal",100%,0%))</f>
        <v>0</v>
      </c>
      <c r="U316" s="68">
        <f t="shared" si="4"/>
        <v>0</v>
      </c>
    </row>
    <row r="317" spans="1:21" s="41" customFormat="1" ht="13.8" x14ac:dyDescent="0.3">
      <c r="A317" s="115" t="s">
        <v>21</v>
      </c>
      <c r="B317" s="116">
        <v>2000938325</v>
      </c>
      <c r="C317" s="116">
        <v>10.016</v>
      </c>
      <c r="D317" s="117">
        <v>77.8</v>
      </c>
      <c r="E317" s="117"/>
      <c r="F317" s="117">
        <v>525</v>
      </c>
      <c r="G317" s="117">
        <v>675</v>
      </c>
      <c r="H317" s="123"/>
      <c r="I317" s="117" t="s">
        <v>122</v>
      </c>
      <c r="J317" s="115">
        <v>377</v>
      </c>
      <c r="K317" s="115" t="s">
        <v>23</v>
      </c>
      <c r="L317" s="117" t="s">
        <v>24</v>
      </c>
      <c r="M317" s="66">
        <v>304158</v>
      </c>
      <c r="N317" s="66">
        <v>3908</v>
      </c>
      <c r="O317" s="66">
        <v>103414</v>
      </c>
      <c r="P317" s="66">
        <v>407571</v>
      </c>
      <c r="Q317" s="67">
        <v>0.4</v>
      </c>
      <c r="R317" s="66">
        <v>163029</v>
      </c>
      <c r="S317" s="66">
        <v>570600</v>
      </c>
      <c r="T317" s="106">
        <f>IF(A317="Upgrade",IF(OR(H317=4,H317=5),_xlfn.XLOOKUP(I317,'Renewal Rates'!$A$22:$A$27,'Renewal Rates'!$B$22:$B$27,'Renewal Rates'!$B$27,0),'Renewal Rates'!$F$7),IF(A317="Renewal",100%,0%))</f>
        <v>2.6599999999999999E-2</v>
      </c>
      <c r="U317" s="68">
        <f t="shared" si="4"/>
        <v>15177.96</v>
      </c>
    </row>
    <row r="318" spans="1:21" s="41" customFormat="1" ht="13.8" x14ac:dyDescent="0.3">
      <c r="A318" s="115" t="s">
        <v>21</v>
      </c>
      <c r="B318" s="116">
        <v>2000020658</v>
      </c>
      <c r="C318" s="116">
        <v>10.016</v>
      </c>
      <c r="D318" s="117">
        <v>87.3</v>
      </c>
      <c r="E318" s="117"/>
      <c r="F318" s="117">
        <v>375</v>
      </c>
      <c r="G318" s="117">
        <v>675</v>
      </c>
      <c r="H318" s="123"/>
      <c r="I318" s="117" t="s">
        <v>122</v>
      </c>
      <c r="J318" s="115">
        <v>377</v>
      </c>
      <c r="K318" s="115" t="s">
        <v>23</v>
      </c>
      <c r="L318" s="117" t="s">
        <v>24</v>
      </c>
      <c r="M318" s="66">
        <v>358324</v>
      </c>
      <c r="N318" s="66">
        <v>4105</v>
      </c>
      <c r="O318" s="66">
        <v>121830</v>
      </c>
      <c r="P318" s="66">
        <v>480154</v>
      </c>
      <c r="Q318" s="67">
        <v>0.4</v>
      </c>
      <c r="R318" s="66">
        <v>192061</v>
      </c>
      <c r="S318" s="66">
        <v>672215</v>
      </c>
      <c r="T318" s="106">
        <f>IF(A318="Upgrade",IF(OR(H318=4,H318=5),_xlfn.XLOOKUP(I318,'Renewal Rates'!$A$22:$A$27,'Renewal Rates'!$B$22:$B$27,'Renewal Rates'!$B$27,0),'Renewal Rates'!$F$7),IF(A318="Renewal",100%,0%))</f>
        <v>2.6599999999999999E-2</v>
      </c>
      <c r="U318" s="68">
        <f t="shared" si="4"/>
        <v>17880.918999999998</v>
      </c>
    </row>
    <row r="319" spans="1:21" s="41" customFormat="1" ht="13.8" x14ac:dyDescent="0.3">
      <c r="A319" s="115" t="s">
        <v>21</v>
      </c>
      <c r="B319" s="116">
        <v>2000400353</v>
      </c>
      <c r="C319" s="116">
        <v>10.015000000000001</v>
      </c>
      <c r="D319" s="117">
        <v>60.9</v>
      </c>
      <c r="E319" s="117"/>
      <c r="F319" s="117">
        <v>375</v>
      </c>
      <c r="G319" s="117">
        <v>600</v>
      </c>
      <c r="H319" s="123"/>
      <c r="I319" s="117" t="s">
        <v>122</v>
      </c>
      <c r="J319" s="115">
        <v>377</v>
      </c>
      <c r="K319" s="115" t="s">
        <v>23</v>
      </c>
      <c r="L319" s="117" t="s">
        <v>24</v>
      </c>
      <c r="M319" s="66">
        <v>222026</v>
      </c>
      <c r="N319" s="66">
        <v>3646</v>
      </c>
      <c r="O319" s="66">
        <v>75489</v>
      </c>
      <c r="P319" s="66">
        <v>297515</v>
      </c>
      <c r="Q319" s="67">
        <v>0.4</v>
      </c>
      <c r="R319" s="66">
        <v>119006</v>
      </c>
      <c r="S319" s="66">
        <v>416520</v>
      </c>
      <c r="T319" s="106">
        <f>IF(A319="Upgrade",IF(OR(H319=4,H319=5),_xlfn.XLOOKUP(I319,'Renewal Rates'!$A$22:$A$27,'Renewal Rates'!$B$22:$B$27,'Renewal Rates'!$B$27,0),'Renewal Rates'!$F$7),IF(A319="Renewal",100%,0%))</f>
        <v>2.6599999999999999E-2</v>
      </c>
      <c r="U319" s="68">
        <f t="shared" si="4"/>
        <v>11079.431999999999</v>
      </c>
    </row>
    <row r="320" spans="1:21" s="41" customFormat="1" ht="13.8" x14ac:dyDescent="0.3">
      <c r="A320" s="115" t="s">
        <v>21</v>
      </c>
      <c r="B320" s="116">
        <v>2000185458</v>
      </c>
      <c r="C320" s="116">
        <v>10.015000000000001</v>
      </c>
      <c r="D320" s="117">
        <v>44.7</v>
      </c>
      <c r="E320" s="117"/>
      <c r="F320" s="117">
        <v>300</v>
      </c>
      <c r="G320" s="117">
        <v>600</v>
      </c>
      <c r="H320" s="123"/>
      <c r="I320" s="117" t="s">
        <v>122</v>
      </c>
      <c r="J320" s="115">
        <v>377</v>
      </c>
      <c r="K320" s="115" t="s">
        <v>23</v>
      </c>
      <c r="L320" s="117" t="s">
        <v>24</v>
      </c>
      <c r="M320" s="66">
        <v>147950</v>
      </c>
      <c r="N320" s="66">
        <v>3314</v>
      </c>
      <c r="O320" s="66">
        <v>50303</v>
      </c>
      <c r="P320" s="66">
        <v>198253</v>
      </c>
      <c r="Q320" s="67">
        <v>0.4</v>
      </c>
      <c r="R320" s="66">
        <v>79301</v>
      </c>
      <c r="S320" s="66">
        <v>277554</v>
      </c>
      <c r="T320" s="106">
        <f>IF(A320="Upgrade",IF(OR(H320=4,H320=5),_xlfn.XLOOKUP(I320,'Renewal Rates'!$A$22:$A$27,'Renewal Rates'!$B$22:$B$27,'Renewal Rates'!$B$27,0),'Renewal Rates'!$F$7),IF(A320="Renewal",100%,0%))</f>
        <v>2.6599999999999999E-2</v>
      </c>
      <c r="U320" s="68">
        <f t="shared" si="4"/>
        <v>7382.9363999999996</v>
      </c>
    </row>
    <row r="321" spans="1:21" s="41" customFormat="1" ht="13.8" x14ac:dyDescent="0.3">
      <c r="A321" s="115" t="s">
        <v>21</v>
      </c>
      <c r="B321" s="116">
        <v>2000921512</v>
      </c>
      <c r="C321" s="116">
        <v>10.015000000000001</v>
      </c>
      <c r="D321" s="117">
        <v>2.6</v>
      </c>
      <c r="E321" s="117"/>
      <c r="F321" s="117">
        <v>300</v>
      </c>
      <c r="G321" s="117">
        <v>600</v>
      </c>
      <c r="H321" s="123"/>
      <c r="I321" s="117" t="s">
        <v>122</v>
      </c>
      <c r="J321" s="115">
        <v>377</v>
      </c>
      <c r="K321" s="115" t="s">
        <v>23</v>
      </c>
      <c r="L321" s="117" t="s">
        <v>24</v>
      </c>
      <c r="M321" s="66">
        <v>46152</v>
      </c>
      <c r="N321" s="66">
        <v>17726</v>
      </c>
      <c r="O321" s="66">
        <v>15692</v>
      </c>
      <c r="P321" s="66">
        <v>61844</v>
      </c>
      <c r="Q321" s="67">
        <v>0.4</v>
      </c>
      <c r="R321" s="66">
        <v>24738</v>
      </c>
      <c r="S321" s="66">
        <v>86581</v>
      </c>
      <c r="T321" s="106">
        <f>IF(A321="Upgrade",IF(OR(H321=4,H321=5),_xlfn.XLOOKUP(I321,'Renewal Rates'!$A$22:$A$27,'Renewal Rates'!$B$22:$B$27,'Renewal Rates'!$B$27,0),'Renewal Rates'!$F$7),IF(A321="Renewal",100%,0%))</f>
        <v>2.6599999999999999E-2</v>
      </c>
      <c r="U321" s="68">
        <f t="shared" si="4"/>
        <v>2303.0545999999999</v>
      </c>
    </row>
    <row r="322" spans="1:21" s="41" customFormat="1" ht="13.8" x14ac:dyDescent="0.3">
      <c r="A322" s="115" t="s">
        <v>25</v>
      </c>
      <c r="B322" s="116" t="s">
        <v>22</v>
      </c>
      <c r="C322" s="116">
        <v>10.000999999999999</v>
      </c>
      <c r="D322" s="117"/>
      <c r="E322" s="117">
        <v>76.599999999999994</v>
      </c>
      <c r="F322" s="117"/>
      <c r="G322" s="117">
        <v>450</v>
      </c>
      <c r="H322" s="123"/>
      <c r="I322" s="117" t="s">
        <v>122</v>
      </c>
      <c r="J322" s="115">
        <v>377</v>
      </c>
      <c r="K322" s="115" t="s">
        <v>23</v>
      </c>
      <c r="L322" s="117" t="s">
        <v>24</v>
      </c>
      <c r="M322" s="66">
        <v>215531</v>
      </c>
      <c r="N322" s="66">
        <v>2813</v>
      </c>
      <c r="O322" s="66">
        <v>73281</v>
      </c>
      <c r="P322" s="66">
        <v>288812</v>
      </c>
      <c r="Q322" s="67">
        <v>0.4</v>
      </c>
      <c r="R322" s="66">
        <v>115525</v>
      </c>
      <c r="S322" s="66">
        <v>404337</v>
      </c>
      <c r="T322" s="106">
        <f>IF(A322="Upgrade",IF(OR(H322=4,H322=5),_xlfn.XLOOKUP(I322,'Renewal Rates'!$A$22:$A$27,'Renewal Rates'!$B$22:$B$27,'Renewal Rates'!$B$27,0),'Renewal Rates'!$F$7),IF(A322="Renewal",100%,0%))</f>
        <v>0</v>
      </c>
      <c r="U322" s="68">
        <f t="shared" si="4"/>
        <v>0</v>
      </c>
    </row>
    <row r="323" spans="1:21" s="41" customFormat="1" ht="13.8" x14ac:dyDescent="0.3">
      <c r="A323" s="115" t="s">
        <v>21</v>
      </c>
      <c r="B323" s="116">
        <v>2000189333</v>
      </c>
      <c r="C323" s="116">
        <v>10.022</v>
      </c>
      <c r="D323" s="117">
        <v>50.2</v>
      </c>
      <c r="E323" s="117"/>
      <c r="F323" s="117">
        <v>600</v>
      </c>
      <c r="G323" s="117">
        <v>750</v>
      </c>
      <c r="H323" s="123">
        <v>4</v>
      </c>
      <c r="I323" s="117">
        <v>3</v>
      </c>
      <c r="J323" s="115">
        <v>377</v>
      </c>
      <c r="K323" s="115" t="s">
        <v>23</v>
      </c>
      <c r="L323" s="117" t="s">
        <v>24</v>
      </c>
      <c r="M323" s="66">
        <v>192157</v>
      </c>
      <c r="N323" s="66">
        <v>3824</v>
      </c>
      <c r="O323" s="66">
        <v>81446</v>
      </c>
      <c r="P323" s="66">
        <v>320991</v>
      </c>
      <c r="Q323" s="67">
        <v>0.4</v>
      </c>
      <c r="R323" s="66">
        <v>128397</v>
      </c>
      <c r="S323" s="66">
        <v>449388</v>
      </c>
      <c r="T323" s="106">
        <f>IF(A323="Upgrade",IF(OR(H323=4,H323=5),_xlfn.XLOOKUP(I323,'Renewal Rates'!$A$22:$A$27,'Renewal Rates'!$B$22:$B$27,'Renewal Rates'!$B$27,0),'Renewal Rates'!$F$7),IF(A323="Renewal",100%,0%))</f>
        <v>0.21</v>
      </c>
      <c r="U323" s="68">
        <f t="shared" si="4"/>
        <v>94371.48</v>
      </c>
    </row>
    <row r="324" spans="1:21" s="41" customFormat="1" ht="13.8" x14ac:dyDescent="0.3">
      <c r="A324" s="115" t="s">
        <v>21</v>
      </c>
      <c r="B324" s="116">
        <v>2000154465</v>
      </c>
      <c r="C324" s="116">
        <v>10.022</v>
      </c>
      <c r="D324" s="117">
        <v>49.3</v>
      </c>
      <c r="E324" s="117"/>
      <c r="F324" s="117">
        <v>600</v>
      </c>
      <c r="G324" s="117">
        <v>750</v>
      </c>
      <c r="H324" s="123"/>
      <c r="I324" s="117" t="s">
        <v>122</v>
      </c>
      <c r="J324" s="115">
        <v>377</v>
      </c>
      <c r="K324" s="115" t="s">
        <v>23</v>
      </c>
      <c r="L324" s="117" t="s">
        <v>24</v>
      </c>
      <c r="M324" s="66">
        <v>172814</v>
      </c>
      <c r="N324" s="66">
        <v>3502</v>
      </c>
      <c r="O324" s="66">
        <v>72703</v>
      </c>
      <c r="P324" s="66">
        <v>286537</v>
      </c>
      <c r="Q324" s="67">
        <v>0.4</v>
      </c>
      <c r="R324" s="66">
        <v>114615</v>
      </c>
      <c r="S324" s="66">
        <v>401151</v>
      </c>
      <c r="T324" s="106">
        <f>IF(A324="Upgrade",IF(OR(H324=4,H324=5),_xlfn.XLOOKUP(I324,'Renewal Rates'!$A$22:$A$27,'Renewal Rates'!$B$22:$B$27,'Renewal Rates'!$B$27,0),'Renewal Rates'!$F$7),IF(A324="Renewal",100%,0%))</f>
        <v>2.6599999999999999E-2</v>
      </c>
      <c r="U324" s="68">
        <f t="shared" ref="U324:U387" si="5">S324*T324</f>
        <v>10670.616599999999</v>
      </c>
    </row>
    <row r="325" spans="1:21" s="41" customFormat="1" ht="13.8" x14ac:dyDescent="0.3">
      <c r="A325" s="115" t="s">
        <v>21</v>
      </c>
      <c r="B325" s="116">
        <v>2000386593</v>
      </c>
      <c r="C325" s="116">
        <v>10.023</v>
      </c>
      <c r="D325" s="117">
        <v>55.2</v>
      </c>
      <c r="E325" s="117"/>
      <c r="F325" s="117">
        <v>225</v>
      </c>
      <c r="G325" s="117">
        <v>750</v>
      </c>
      <c r="H325" s="123"/>
      <c r="I325" s="117" t="s">
        <v>122</v>
      </c>
      <c r="J325" s="115">
        <v>377</v>
      </c>
      <c r="K325" s="115" t="s">
        <v>23</v>
      </c>
      <c r="L325" s="117" t="s">
        <v>24</v>
      </c>
      <c r="M325" s="66">
        <v>216735</v>
      </c>
      <c r="N325" s="66">
        <v>3929</v>
      </c>
      <c r="O325" s="66">
        <v>83718</v>
      </c>
      <c r="P325" s="66">
        <v>329948</v>
      </c>
      <c r="Q325" s="67">
        <v>0.4</v>
      </c>
      <c r="R325" s="66">
        <v>131979</v>
      </c>
      <c r="S325" s="66">
        <v>461927</v>
      </c>
      <c r="T325" s="106">
        <f>IF(A325="Upgrade",IF(OR(H325=4,H325=5),_xlfn.XLOOKUP(I325,'Renewal Rates'!$A$22:$A$27,'Renewal Rates'!$B$22:$B$27,'Renewal Rates'!$B$27,0),'Renewal Rates'!$F$7),IF(A325="Renewal",100%,0%))</f>
        <v>2.6599999999999999E-2</v>
      </c>
      <c r="U325" s="68">
        <f t="shared" si="5"/>
        <v>12287.2582</v>
      </c>
    </row>
    <row r="326" spans="1:21" s="41" customFormat="1" ht="13.8" x14ac:dyDescent="0.3">
      <c r="A326" s="115" t="s">
        <v>25</v>
      </c>
      <c r="B326" s="116" t="s">
        <v>22</v>
      </c>
      <c r="C326" s="116">
        <v>10.025</v>
      </c>
      <c r="D326" s="117"/>
      <c r="E326" s="117">
        <v>99.4</v>
      </c>
      <c r="F326" s="117"/>
      <c r="G326" s="117">
        <v>600</v>
      </c>
      <c r="H326" s="123"/>
      <c r="I326" s="117" t="s">
        <v>122</v>
      </c>
      <c r="J326" s="115">
        <v>377</v>
      </c>
      <c r="K326" s="115" t="s">
        <v>23</v>
      </c>
      <c r="L326" s="117" t="s">
        <v>24</v>
      </c>
      <c r="M326" s="66">
        <v>271646</v>
      </c>
      <c r="N326" s="66">
        <v>2733</v>
      </c>
      <c r="O326" s="66">
        <v>108859</v>
      </c>
      <c r="P326" s="66">
        <v>429034</v>
      </c>
      <c r="Q326" s="67">
        <v>0.4</v>
      </c>
      <c r="R326" s="66">
        <v>171614</v>
      </c>
      <c r="S326" s="66">
        <v>600648</v>
      </c>
      <c r="T326" s="106">
        <f>IF(A326="Upgrade",IF(OR(H326=4,H326=5),_xlfn.XLOOKUP(I326,'Renewal Rates'!$A$22:$A$27,'Renewal Rates'!$B$22:$B$27,'Renewal Rates'!$B$27,0),'Renewal Rates'!$F$7),IF(A326="Renewal",100%,0%))</f>
        <v>0</v>
      </c>
      <c r="U326" s="68">
        <f t="shared" si="5"/>
        <v>0</v>
      </c>
    </row>
    <row r="327" spans="1:21" s="41" customFormat="1" ht="13.8" x14ac:dyDescent="0.3">
      <c r="A327" s="115" t="s">
        <v>21</v>
      </c>
      <c r="B327" s="116">
        <v>2000128251</v>
      </c>
      <c r="C327" s="116">
        <v>10.026999999999999</v>
      </c>
      <c r="D327" s="117">
        <v>56.9</v>
      </c>
      <c r="E327" s="117"/>
      <c r="F327" s="117">
        <v>225</v>
      </c>
      <c r="G327" s="117">
        <v>300</v>
      </c>
      <c r="H327" s="123"/>
      <c r="I327" s="117" t="s">
        <v>122</v>
      </c>
      <c r="J327" s="115">
        <v>377</v>
      </c>
      <c r="K327" s="115" t="s">
        <v>23</v>
      </c>
      <c r="L327" s="117" t="s">
        <v>24</v>
      </c>
      <c r="M327" s="66">
        <v>127178</v>
      </c>
      <c r="N327" s="66">
        <v>2234</v>
      </c>
      <c r="O327" s="66">
        <v>43240</v>
      </c>
      <c r="P327" s="66">
        <v>170418</v>
      </c>
      <c r="Q327" s="67">
        <v>0.4</v>
      </c>
      <c r="R327" s="66">
        <v>68167</v>
      </c>
      <c r="S327" s="66">
        <v>238585</v>
      </c>
      <c r="T327" s="106">
        <f>IF(A327="Upgrade",IF(OR(H327=4,H327=5),_xlfn.XLOOKUP(I327,'Renewal Rates'!$A$22:$A$27,'Renewal Rates'!$B$22:$B$27,'Renewal Rates'!$B$27,0),'Renewal Rates'!$F$7),IF(A327="Renewal",100%,0%))</f>
        <v>2.6599999999999999E-2</v>
      </c>
      <c r="U327" s="68">
        <f t="shared" si="5"/>
        <v>6346.3609999999999</v>
      </c>
    </row>
    <row r="328" spans="1:21" s="41" customFormat="1" ht="13.8" x14ac:dyDescent="0.3">
      <c r="A328" s="115" t="s">
        <v>25</v>
      </c>
      <c r="B328" s="116" t="s">
        <v>22</v>
      </c>
      <c r="C328" s="116">
        <v>10.007</v>
      </c>
      <c r="D328" s="117"/>
      <c r="E328" s="117">
        <v>115</v>
      </c>
      <c r="F328" s="117"/>
      <c r="G328" s="117">
        <v>450</v>
      </c>
      <c r="H328" s="123"/>
      <c r="I328" s="117" t="s">
        <v>122</v>
      </c>
      <c r="J328" s="115">
        <v>377</v>
      </c>
      <c r="K328" s="115" t="s">
        <v>23</v>
      </c>
      <c r="L328" s="117" t="s">
        <v>24</v>
      </c>
      <c r="M328" s="66">
        <v>317492</v>
      </c>
      <c r="N328" s="66">
        <v>2760</v>
      </c>
      <c r="O328" s="66">
        <v>107947</v>
      </c>
      <c r="P328" s="66">
        <v>425439</v>
      </c>
      <c r="Q328" s="67">
        <v>0.4</v>
      </c>
      <c r="R328" s="66">
        <v>170176</v>
      </c>
      <c r="S328" s="66">
        <v>595614</v>
      </c>
      <c r="T328" s="106">
        <f>IF(A328="Upgrade",IF(OR(H328=4,H328=5),_xlfn.XLOOKUP(I328,'Renewal Rates'!$A$22:$A$27,'Renewal Rates'!$B$22:$B$27,'Renewal Rates'!$B$27,0),'Renewal Rates'!$F$7),IF(A328="Renewal",100%,0%))</f>
        <v>0</v>
      </c>
      <c r="U328" s="68">
        <f t="shared" si="5"/>
        <v>0</v>
      </c>
    </row>
    <row r="329" spans="1:21" s="41" customFormat="1" ht="13.8" x14ac:dyDescent="0.3">
      <c r="A329" s="115" t="s">
        <v>25</v>
      </c>
      <c r="B329" s="116" t="s">
        <v>22</v>
      </c>
      <c r="C329" s="116">
        <v>11.004</v>
      </c>
      <c r="D329" s="117"/>
      <c r="E329" s="117">
        <v>61.9</v>
      </c>
      <c r="F329" s="117"/>
      <c r="G329" s="117">
        <v>450</v>
      </c>
      <c r="H329" s="123"/>
      <c r="I329" s="117" t="s">
        <v>122</v>
      </c>
      <c r="J329" s="115">
        <v>377</v>
      </c>
      <c r="K329" s="115" t="s">
        <v>23</v>
      </c>
      <c r="L329" s="117" t="s">
        <v>24</v>
      </c>
      <c r="M329" s="66">
        <v>201960</v>
      </c>
      <c r="N329" s="66">
        <v>3264</v>
      </c>
      <c r="O329" s="66">
        <v>68666</v>
      </c>
      <c r="P329" s="66">
        <v>270626</v>
      </c>
      <c r="Q329" s="67">
        <v>0.4</v>
      </c>
      <c r="R329" s="66">
        <v>108251</v>
      </c>
      <c r="S329" s="66">
        <v>378877</v>
      </c>
      <c r="T329" s="106">
        <f>IF(A329="Upgrade",IF(OR(H329=4,H329=5),_xlfn.XLOOKUP(I329,'Renewal Rates'!$A$22:$A$27,'Renewal Rates'!$B$22:$B$27,'Renewal Rates'!$B$27,0),'Renewal Rates'!$F$7),IF(A329="Renewal",100%,0%))</f>
        <v>0</v>
      </c>
      <c r="U329" s="68">
        <f t="shared" si="5"/>
        <v>0</v>
      </c>
    </row>
    <row r="330" spans="1:21" s="41" customFormat="1" ht="13.8" x14ac:dyDescent="0.3">
      <c r="A330" s="115" t="s">
        <v>25</v>
      </c>
      <c r="B330" s="116" t="s">
        <v>22</v>
      </c>
      <c r="C330" s="116">
        <v>11.005000000000001</v>
      </c>
      <c r="D330" s="117"/>
      <c r="E330" s="117">
        <v>120.7</v>
      </c>
      <c r="F330" s="117"/>
      <c r="G330" s="117">
        <v>525</v>
      </c>
      <c r="H330" s="123"/>
      <c r="I330" s="117" t="s">
        <v>122</v>
      </c>
      <c r="J330" s="115">
        <v>385</v>
      </c>
      <c r="K330" s="115" t="s">
        <v>23</v>
      </c>
      <c r="L330" s="117" t="s">
        <v>24</v>
      </c>
      <c r="M330" s="66">
        <v>378316</v>
      </c>
      <c r="N330" s="66">
        <v>3136</v>
      </c>
      <c r="O330" s="66">
        <v>128627</v>
      </c>
      <c r="P330" s="66">
        <v>506943</v>
      </c>
      <c r="Q330" s="67">
        <v>0.4</v>
      </c>
      <c r="R330" s="66">
        <v>202777</v>
      </c>
      <c r="S330" s="66">
        <v>709720</v>
      </c>
      <c r="T330" s="106">
        <f>IF(A330="Upgrade",IF(OR(H330=4,H330=5),_xlfn.XLOOKUP(I330,'Renewal Rates'!$A$22:$A$27,'Renewal Rates'!$B$22:$B$27,'Renewal Rates'!$B$27,0),'Renewal Rates'!$F$7),IF(A330="Renewal",100%,0%))</f>
        <v>0</v>
      </c>
      <c r="U330" s="68">
        <f t="shared" si="5"/>
        <v>0</v>
      </c>
    </row>
    <row r="331" spans="1:21" s="41" customFormat="1" ht="13.8" x14ac:dyDescent="0.3">
      <c r="A331" s="115" t="s">
        <v>21</v>
      </c>
      <c r="B331" s="116">
        <v>2000650272</v>
      </c>
      <c r="C331" s="116" t="s">
        <v>36</v>
      </c>
      <c r="D331" s="117">
        <v>12.6</v>
      </c>
      <c r="E331" s="117"/>
      <c r="F331" s="117">
        <v>1350</v>
      </c>
      <c r="G331" s="117">
        <v>1800</v>
      </c>
      <c r="H331" s="123"/>
      <c r="I331" s="117" t="s">
        <v>122</v>
      </c>
      <c r="J331" s="115">
        <v>385</v>
      </c>
      <c r="K331" s="115" t="s">
        <v>23</v>
      </c>
      <c r="L331" s="117" t="s">
        <v>24</v>
      </c>
      <c r="M331" s="66">
        <v>138133</v>
      </c>
      <c r="N331" s="66">
        <v>10975</v>
      </c>
      <c r="O331" s="66">
        <v>46965</v>
      </c>
      <c r="P331" s="66">
        <v>185098</v>
      </c>
      <c r="Q331" s="67">
        <v>0.4</v>
      </c>
      <c r="R331" s="66">
        <v>74039</v>
      </c>
      <c r="S331" s="66">
        <v>259137</v>
      </c>
      <c r="T331" s="106">
        <f>IF(A331="Upgrade",IF(OR(H331=4,H331=5),_xlfn.XLOOKUP(I331,'Renewal Rates'!$A$22:$A$27,'Renewal Rates'!$B$22:$B$27,'Renewal Rates'!$B$27,0),'Renewal Rates'!$F$7),IF(A331="Renewal",100%,0%))</f>
        <v>2.6599999999999999E-2</v>
      </c>
      <c r="U331" s="68">
        <f t="shared" si="5"/>
        <v>6893.0441999999994</v>
      </c>
    </row>
    <row r="332" spans="1:21" s="41" customFormat="1" ht="13.8" x14ac:dyDescent="0.3">
      <c r="A332" s="115" t="s">
        <v>21</v>
      </c>
      <c r="B332" s="116">
        <v>2000496544</v>
      </c>
      <c r="C332" s="116">
        <v>11.026999999999999</v>
      </c>
      <c r="D332" s="117">
        <v>80.099999999999994</v>
      </c>
      <c r="E332" s="117"/>
      <c r="F332" s="117">
        <v>900</v>
      </c>
      <c r="G332" s="117">
        <v>1650</v>
      </c>
      <c r="H332" s="123">
        <v>4</v>
      </c>
      <c r="I332" s="117">
        <v>2</v>
      </c>
      <c r="J332" s="115">
        <v>385</v>
      </c>
      <c r="K332" s="115" t="s">
        <v>23</v>
      </c>
      <c r="L332" s="117" t="s">
        <v>24</v>
      </c>
      <c r="M332" s="66">
        <v>744999</v>
      </c>
      <c r="N332" s="66">
        <v>9305</v>
      </c>
      <c r="O332" s="66">
        <v>253300</v>
      </c>
      <c r="P332" s="66">
        <v>998298</v>
      </c>
      <c r="Q332" s="67">
        <v>0.4</v>
      </c>
      <c r="R332" s="66">
        <v>399319</v>
      </c>
      <c r="S332" s="66">
        <v>1397617</v>
      </c>
      <c r="T332" s="106">
        <f>IF(A332="Upgrade",IF(OR(H332=4,H332=5),_xlfn.XLOOKUP(I332,'Renewal Rates'!$A$22:$A$27,'Renewal Rates'!$B$22:$B$27,'Renewal Rates'!$B$27,0),'Renewal Rates'!$F$7),IF(A332="Renewal",100%,0%))</f>
        <v>0</v>
      </c>
      <c r="U332" s="68">
        <f t="shared" si="5"/>
        <v>0</v>
      </c>
    </row>
    <row r="333" spans="1:21" s="41" customFormat="1" ht="13.8" x14ac:dyDescent="0.3">
      <c r="A333" s="115" t="s">
        <v>21</v>
      </c>
      <c r="B333" s="116">
        <v>2000066206</v>
      </c>
      <c r="C333" s="116">
        <v>11.026999999999999</v>
      </c>
      <c r="D333" s="117">
        <v>6</v>
      </c>
      <c r="E333" s="117"/>
      <c r="F333" s="117">
        <v>900</v>
      </c>
      <c r="G333" s="117">
        <v>1650</v>
      </c>
      <c r="H333" s="123"/>
      <c r="I333" s="117" t="s">
        <v>122</v>
      </c>
      <c r="J333" s="115">
        <v>385</v>
      </c>
      <c r="K333" s="115" t="s">
        <v>23</v>
      </c>
      <c r="L333" s="117" t="s">
        <v>24</v>
      </c>
      <c r="M333" s="66">
        <v>66781</v>
      </c>
      <c r="N333" s="66">
        <v>11178</v>
      </c>
      <c r="O333" s="66">
        <v>22705</v>
      </c>
      <c r="P333" s="66">
        <v>89486</v>
      </c>
      <c r="Q333" s="67">
        <v>0.4</v>
      </c>
      <c r="R333" s="66">
        <v>35794</v>
      </c>
      <c r="S333" s="66">
        <v>125280</v>
      </c>
      <c r="T333" s="106">
        <f>IF(A333="Upgrade",IF(OR(H333=4,H333=5),_xlfn.XLOOKUP(I333,'Renewal Rates'!$A$22:$A$27,'Renewal Rates'!$B$22:$B$27,'Renewal Rates'!$B$27,0),'Renewal Rates'!$F$7),IF(A333="Renewal",100%,0%))</f>
        <v>2.6599999999999999E-2</v>
      </c>
      <c r="U333" s="68">
        <f t="shared" si="5"/>
        <v>3332.4479999999999</v>
      </c>
    </row>
    <row r="334" spans="1:21" s="41" customFormat="1" ht="13.8" x14ac:dyDescent="0.3">
      <c r="A334" s="115" t="s">
        <v>21</v>
      </c>
      <c r="B334" s="116">
        <v>3000099268</v>
      </c>
      <c r="C334" s="116">
        <v>11.026999999999999</v>
      </c>
      <c r="D334" s="117">
        <v>70</v>
      </c>
      <c r="E334" s="117"/>
      <c r="F334" s="117">
        <v>900</v>
      </c>
      <c r="G334" s="117">
        <v>1650</v>
      </c>
      <c r="H334" s="123">
        <v>4</v>
      </c>
      <c r="I334" s="117">
        <v>4</v>
      </c>
      <c r="J334" s="115">
        <v>385</v>
      </c>
      <c r="K334" s="115" t="s">
        <v>23</v>
      </c>
      <c r="L334" s="117" t="s">
        <v>24</v>
      </c>
      <c r="M334" s="66">
        <v>642608</v>
      </c>
      <c r="N334" s="66">
        <v>9186</v>
      </c>
      <c r="O334" s="66">
        <v>218487</v>
      </c>
      <c r="P334" s="66">
        <v>861095</v>
      </c>
      <c r="Q334" s="67">
        <v>0.4</v>
      </c>
      <c r="R334" s="66">
        <v>344438</v>
      </c>
      <c r="S334" s="66">
        <v>1205533</v>
      </c>
      <c r="T334" s="106">
        <f>IF(A334="Upgrade",IF(OR(H334=4,H334=5),_xlfn.XLOOKUP(I334,'Renewal Rates'!$A$22:$A$27,'Renewal Rates'!$B$22:$B$27,'Renewal Rates'!$B$27,0),'Renewal Rates'!$F$7),IF(A334="Renewal",100%,0%))</f>
        <v>0.7</v>
      </c>
      <c r="U334" s="68">
        <f t="shared" si="5"/>
        <v>843873.1</v>
      </c>
    </row>
    <row r="335" spans="1:21" s="41" customFormat="1" ht="13.8" x14ac:dyDescent="0.3">
      <c r="A335" s="115" t="s">
        <v>21</v>
      </c>
      <c r="B335" s="116">
        <v>2000540878</v>
      </c>
      <c r="C335" s="116">
        <v>11.026999999999999</v>
      </c>
      <c r="D335" s="117">
        <v>83.3</v>
      </c>
      <c r="E335" s="117"/>
      <c r="F335" s="117">
        <v>900</v>
      </c>
      <c r="G335" s="117">
        <v>1650</v>
      </c>
      <c r="H335" s="123"/>
      <c r="I335" s="117" t="s">
        <v>122</v>
      </c>
      <c r="J335" s="115">
        <v>385</v>
      </c>
      <c r="K335" s="115" t="s">
        <v>23</v>
      </c>
      <c r="L335" s="117" t="s">
        <v>24</v>
      </c>
      <c r="M335" s="66">
        <v>778611</v>
      </c>
      <c r="N335" s="66">
        <v>9350</v>
      </c>
      <c r="O335" s="66">
        <v>264728</v>
      </c>
      <c r="P335" s="66">
        <v>1043339</v>
      </c>
      <c r="Q335" s="67">
        <v>0.4</v>
      </c>
      <c r="R335" s="66">
        <v>417336</v>
      </c>
      <c r="S335" s="66">
        <v>1460674</v>
      </c>
      <c r="T335" s="106">
        <f>IF(A335="Upgrade",IF(OR(H335=4,H335=5),_xlfn.XLOOKUP(I335,'Renewal Rates'!$A$22:$A$27,'Renewal Rates'!$B$22:$B$27,'Renewal Rates'!$B$27,0),'Renewal Rates'!$F$7),IF(A335="Renewal",100%,0%))</f>
        <v>2.6599999999999999E-2</v>
      </c>
      <c r="U335" s="68">
        <f t="shared" si="5"/>
        <v>38853.928399999997</v>
      </c>
    </row>
    <row r="336" spans="1:21" s="41" customFormat="1" ht="13.8" x14ac:dyDescent="0.3">
      <c r="A336" s="115" t="s">
        <v>21</v>
      </c>
      <c r="B336" s="116">
        <v>2000316710</v>
      </c>
      <c r="C336" s="116">
        <v>11.026</v>
      </c>
      <c r="D336" s="117">
        <v>82.8</v>
      </c>
      <c r="E336" s="117"/>
      <c r="F336" s="117">
        <v>675</v>
      </c>
      <c r="G336" s="117">
        <v>1125</v>
      </c>
      <c r="H336" s="123"/>
      <c r="I336" s="117" t="s">
        <v>122</v>
      </c>
      <c r="J336" s="115">
        <v>385</v>
      </c>
      <c r="K336" s="115" t="s">
        <v>23</v>
      </c>
      <c r="L336" s="117" t="s">
        <v>24</v>
      </c>
      <c r="M336" s="66">
        <v>580076</v>
      </c>
      <c r="N336" s="66">
        <v>7009</v>
      </c>
      <c r="O336" s="66">
        <v>197226</v>
      </c>
      <c r="P336" s="66">
        <v>777302</v>
      </c>
      <c r="Q336" s="67">
        <v>0.4</v>
      </c>
      <c r="R336" s="66">
        <v>310921</v>
      </c>
      <c r="S336" s="66">
        <v>1088222</v>
      </c>
      <c r="T336" s="106">
        <f>IF(A336="Upgrade",IF(OR(H336=4,H336=5),_xlfn.XLOOKUP(I336,'Renewal Rates'!$A$22:$A$27,'Renewal Rates'!$B$22:$B$27,'Renewal Rates'!$B$27,0),'Renewal Rates'!$F$7),IF(A336="Renewal",100%,0%))</f>
        <v>2.6599999999999999E-2</v>
      </c>
      <c r="U336" s="68">
        <f t="shared" si="5"/>
        <v>28946.7052</v>
      </c>
    </row>
    <row r="337" spans="1:21" s="41" customFormat="1" ht="13.8" x14ac:dyDescent="0.3">
      <c r="A337" s="115" t="s">
        <v>21</v>
      </c>
      <c r="B337" s="116">
        <v>2000351489</v>
      </c>
      <c r="C337" s="116">
        <v>11.025</v>
      </c>
      <c r="D337" s="117">
        <v>81.7</v>
      </c>
      <c r="E337" s="117"/>
      <c r="F337" s="117">
        <v>675</v>
      </c>
      <c r="G337" s="117">
        <v>1050</v>
      </c>
      <c r="H337" s="123"/>
      <c r="I337" s="117" t="s">
        <v>122</v>
      </c>
      <c r="J337" s="115">
        <v>385</v>
      </c>
      <c r="K337" s="115" t="s">
        <v>23</v>
      </c>
      <c r="L337" s="117" t="s">
        <v>24</v>
      </c>
      <c r="M337" s="66">
        <v>542342</v>
      </c>
      <c r="N337" s="66">
        <v>6635</v>
      </c>
      <c r="O337" s="66">
        <v>184396</v>
      </c>
      <c r="P337" s="66">
        <v>726738</v>
      </c>
      <c r="Q337" s="67">
        <v>0.4</v>
      </c>
      <c r="R337" s="66">
        <v>290695</v>
      </c>
      <c r="S337" s="66">
        <v>1017434</v>
      </c>
      <c r="T337" s="106">
        <f>IF(A337="Upgrade",IF(OR(H337=4,H337=5),_xlfn.XLOOKUP(I337,'Renewal Rates'!$A$22:$A$27,'Renewal Rates'!$B$22:$B$27,'Renewal Rates'!$B$27,0),'Renewal Rates'!$F$7),IF(A337="Renewal",100%,0%))</f>
        <v>2.6599999999999999E-2</v>
      </c>
      <c r="U337" s="68">
        <f t="shared" si="5"/>
        <v>27063.7444</v>
      </c>
    </row>
    <row r="338" spans="1:21" s="41" customFormat="1" ht="13.8" x14ac:dyDescent="0.3">
      <c r="A338" s="115" t="s">
        <v>21</v>
      </c>
      <c r="B338" s="116">
        <v>2000617233</v>
      </c>
      <c r="C338" s="116">
        <v>11.023999999999999</v>
      </c>
      <c r="D338" s="117">
        <v>85.1</v>
      </c>
      <c r="E338" s="117"/>
      <c r="F338" s="117">
        <v>675</v>
      </c>
      <c r="G338" s="117">
        <v>975</v>
      </c>
      <c r="H338" s="123"/>
      <c r="I338" s="117" t="s">
        <v>122</v>
      </c>
      <c r="J338" s="115">
        <v>385</v>
      </c>
      <c r="K338" s="115" t="s">
        <v>23</v>
      </c>
      <c r="L338" s="117" t="s">
        <v>24</v>
      </c>
      <c r="M338" s="66">
        <v>513143</v>
      </c>
      <c r="N338" s="66">
        <v>6030</v>
      </c>
      <c r="O338" s="66">
        <v>174469</v>
      </c>
      <c r="P338" s="66">
        <v>687611</v>
      </c>
      <c r="Q338" s="67">
        <v>0.4</v>
      </c>
      <c r="R338" s="66">
        <v>275045</v>
      </c>
      <c r="S338" s="66">
        <v>962656</v>
      </c>
      <c r="T338" s="106">
        <f>IF(A338="Upgrade",IF(OR(H338=4,H338=5),_xlfn.XLOOKUP(I338,'Renewal Rates'!$A$22:$A$27,'Renewal Rates'!$B$22:$B$27,'Renewal Rates'!$B$27,0),'Renewal Rates'!$F$7),IF(A338="Renewal",100%,0%))</f>
        <v>2.6599999999999999E-2</v>
      </c>
      <c r="U338" s="68">
        <f t="shared" si="5"/>
        <v>25606.649599999997</v>
      </c>
    </row>
    <row r="339" spans="1:21" s="41" customFormat="1" ht="13.8" x14ac:dyDescent="0.3">
      <c r="A339" s="115" t="s">
        <v>21</v>
      </c>
      <c r="B339" s="116">
        <v>2000895911</v>
      </c>
      <c r="C339" s="116">
        <v>11.023</v>
      </c>
      <c r="D339" s="117">
        <v>71</v>
      </c>
      <c r="E339" s="117"/>
      <c r="F339" s="117">
        <v>375</v>
      </c>
      <c r="G339" s="117">
        <v>750</v>
      </c>
      <c r="H339" s="123"/>
      <c r="I339" s="117" t="s">
        <v>122</v>
      </c>
      <c r="J339" s="115">
        <v>385</v>
      </c>
      <c r="K339" s="115" t="s">
        <v>23</v>
      </c>
      <c r="L339" s="117" t="s">
        <v>24</v>
      </c>
      <c r="M339" s="66">
        <v>306600</v>
      </c>
      <c r="N339" s="66">
        <v>4320</v>
      </c>
      <c r="O339" s="66">
        <v>104244</v>
      </c>
      <c r="P339" s="66">
        <v>410844</v>
      </c>
      <c r="Q339" s="67">
        <v>0.4</v>
      </c>
      <c r="R339" s="66">
        <v>164337</v>
      </c>
      <c r="S339" s="66">
        <v>575181</v>
      </c>
      <c r="T339" s="106">
        <f>IF(A339="Upgrade",IF(OR(H339=4,H339=5),_xlfn.XLOOKUP(I339,'Renewal Rates'!$A$22:$A$27,'Renewal Rates'!$B$22:$B$27,'Renewal Rates'!$B$27,0),'Renewal Rates'!$F$7),IF(A339="Renewal",100%,0%))</f>
        <v>2.6599999999999999E-2</v>
      </c>
      <c r="U339" s="68">
        <f t="shared" si="5"/>
        <v>15299.8146</v>
      </c>
    </row>
    <row r="340" spans="1:21" s="41" customFormat="1" ht="13.8" x14ac:dyDescent="0.3">
      <c r="A340" s="115" t="s">
        <v>21</v>
      </c>
      <c r="B340" s="116">
        <v>2000969508</v>
      </c>
      <c r="C340" s="116">
        <v>11.022</v>
      </c>
      <c r="D340" s="117">
        <v>105.7</v>
      </c>
      <c r="E340" s="117"/>
      <c r="F340" s="117">
        <v>375</v>
      </c>
      <c r="G340" s="117">
        <v>825</v>
      </c>
      <c r="H340" s="123"/>
      <c r="I340" s="117" t="s">
        <v>122</v>
      </c>
      <c r="J340" s="115">
        <v>377</v>
      </c>
      <c r="K340" s="115" t="s">
        <v>23</v>
      </c>
      <c r="L340" s="117" t="s">
        <v>24</v>
      </c>
      <c r="M340" s="66">
        <v>514817</v>
      </c>
      <c r="N340" s="66">
        <v>4872</v>
      </c>
      <c r="O340" s="66">
        <v>175038</v>
      </c>
      <c r="P340" s="66">
        <v>689855</v>
      </c>
      <c r="Q340" s="67">
        <v>0.4</v>
      </c>
      <c r="R340" s="66">
        <v>275942</v>
      </c>
      <c r="S340" s="66">
        <v>965798</v>
      </c>
      <c r="T340" s="106">
        <f>IF(A340="Upgrade",IF(OR(H340=4,H340=5),_xlfn.XLOOKUP(I340,'Renewal Rates'!$A$22:$A$27,'Renewal Rates'!$B$22:$B$27,'Renewal Rates'!$B$27,0),'Renewal Rates'!$F$7),IF(A340="Renewal",100%,0%))</f>
        <v>2.6599999999999999E-2</v>
      </c>
      <c r="U340" s="68">
        <f t="shared" si="5"/>
        <v>25690.2268</v>
      </c>
    </row>
    <row r="341" spans="1:21" s="41" customFormat="1" ht="13.8" x14ac:dyDescent="0.3">
      <c r="A341" s="115" t="s">
        <v>21</v>
      </c>
      <c r="B341" s="116">
        <v>2000870642</v>
      </c>
      <c r="C341" s="116">
        <v>11.021000000000001</v>
      </c>
      <c r="D341" s="117">
        <v>90.1</v>
      </c>
      <c r="E341" s="117"/>
      <c r="F341" s="117">
        <v>225</v>
      </c>
      <c r="G341" s="117">
        <v>600</v>
      </c>
      <c r="H341" s="123"/>
      <c r="I341" s="117" t="s">
        <v>122</v>
      </c>
      <c r="J341" s="115">
        <v>377</v>
      </c>
      <c r="K341" s="115" t="s">
        <v>23</v>
      </c>
      <c r="L341" s="117" t="s">
        <v>24</v>
      </c>
      <c r="M341" s="66">
        <v>291132</v>
      </c>
      <c r="N341" s="66">
        <v>3230</v>
      </c>
      <c r="O341" s="66">
        <v>98985</v>
      </c>
      <c r="P341" s="66">
        <v>390117</v>
      </c>
      <c r="Q341" s="67">
        <v>0.4</v>
      </c>
      <c r="R341" s="66">
        <v>156047</v>
      </c>
      <c r="S341" s="66">
        <v>546164</v>
      </c>
      <c r="T341" s="106">
        <f>IF(A341="Upgrade",IF(OR(H341=4,H341=5),_xlfn.XLOOKUP(I341,'Renewal Rates'!$A$22:$A$27,'Renewal Rates'!$B$22:$B$27,'Renewal Rates'!$B$27,0),'Renewal Rates'!$F$7),IF(A341="Renewal",100%,0%))</f>
        <v>2.6599999999999999E-2</v>
      </c>
      <c r="U341" s="68">
        <f t="shared" si="5"/>
        <v>14527.962399999999</v>
      </c>
    </row>
    <row r="342" spans="1:21" s="41" customFormat="1" ht="13.8" x14ac:dyDescent="0.3">
      <c r="A342" s="115" t="s">
        <v>25</v>
      </c>
      <c r="B342" s="116" t="s">
        <v>22</v>
      </c>
      <c r="C342" s="116">
        <v>11.006</v>
      </c>
      <c r="D342" s="117"/>
      <c r="E342" s="117">
        <v>66.5</v>
      </c>
      <c r="F342" s="117"/>
      <c r="G342" s="117">
        <v>375</v>
      </c>
      <c r="H342" s="123"/>
      <c r="I342" s="117" t="s">
        <v>122</v>
      </c>
      <c r="J342" s="115">
        <v>385</v>
      </c>
      <c r="K342" s="115" t="s">
        <v>23</v>
      </c>
      <c r="L342" s="117" t="s">
        <v>24</v>
      </c>
      <c r="M342" s="66">
        <v>156751</v>
      </c>
      <c r="N342" s="66">
        <v>2356</v>
      </c>
      <c r="O342" s="66">
        <v>53295</v>
      </c>
      <c r="P342" s="66">
        <v>210047</v>
      </c>
      <c r="Q342" s="67">
        <v>0.4</v>
      </c>
      <c r="R342" s="66">
        <v>84019</v>
      </c>
      <c r="S342" s="66">
        <v>294065</v>
      </c>
      <c r="T342" s="106">
        <f>IF(A342="Upgrade",IF(OR(H342=4,H342=5),_xlfn.XLOOKUP(I342,'Renewal Rates'!$A$22:$A$27,'Renewal Rates'!$B$22:$B$27,'Renewal Rates'!$B$27,0),'Renewal Rates'!$F$7),IF(A342="Renewal",100%,0%))</f>
        <v>0</v>
      </c>
      <c r="U342" s="68">
        <f t="shared" si="5"/>
        <v>0</v>
      </c>
    </row>
    <row r="343" spans="1:21" s="41" customFormat="1" ht="13.8" x14ac:dyDescent="0.3">
      <c r="A343" s="115" t="s">
        <v>21</v>
      </c>
      <c r="B343" s="116">
        <v>2000878153</v>
      </c>
      <c r="C343" s="116">
        <v>11.02</v>
      </c>
      <c r="D343" s="117">
        <v>43.6</v>
      </c>
      <c r="E343" s="117"/>
      <c r="F343" s="117">
        <v>825</v>
      </c>
      <c r="G343" s="117">
        <v>1350</v>
      </c>
      <c r="H343" s="123"/>
      <c r="I343" s="117" t="s">
        <v>122</v>
      </c>
      <c r="J343" s="115">
        <v>377</v>
      </c>
      <c r="K343" s="115" t="s">
        <v>23</v>
      </c>
      <c r="L343" s="117" t="s">
        <v>24</v>
      </c>
      <c r="M343" s="66">
        <v>324957</v>
      </c>
      <c r="N343" s="66">
        <v>7453</v>
      </c>
      <c r="O343" s="66">
        <v>110485</v>
      </c>
      <c r="P343" s="66">
        <v>435442</v>
      </c>
      <c r="Q343" s="67">
        <v>0.4</v>
      </c>
      <c r="R343" s="66">
        <v>174177</v>
      </c>
      <c r="S343" s="66">
        <v>609619</v>
      </c>
      <c r="T343" s="106">
        <f>IF(A343="Upgrade",IF(OR(H343=4,H343=5),_xlfn.XLOOKUP(I343,'Renewal Rates'!$A$22:$A$27,'Renewal Rates'!$B$22:$B$27,'Renewal Rates'!$B$27,0),'Renewal Rates'!$F$7),IF(A343="Renewal",100%,0%))</f>
        <v>2.6599999999999999E-2</v>
      </c>
      <c r="U343" s="68">
        <f t="shared" si="5"/>
        <v>16215.865399999999</v>
      </c>
    </row>
    <row r="344" spans="1:21" s="41" customFormat="1" ht="13.8" x14ac:dyDescent="0.3">
      <c r="A344" s="115" t="s">
        <v>21</v>
      </c>
      <c r="B344" s="116">
        <v>3000137809</v>
      </c>
      <c r="C344" s="116">
        <v>11.02</v>
      </c>
      <c r="D344" s="117">
        <v>23.9</v>
      </c>
      <c r="E344" s="117"/>
      <c r="F344" s="117">
        <v>825</v>
      </c>
      <c r="G344" s="117">
        <v>1350</v>
      </c>
      <c r="H344" s="123"/>
      <c r="I344" s="117" t="s">
        <v>122</v>
      </c>
      <c r="J344" s="115">
        <v>377</v>
      </c>
      <c r="K344" s="115" t="s">
        <v>23</v>
      </c>
      <c r="L344" s="117" t="s">
        <v>24</v>
      </c>
      <c r="M344" s="66">
        <v>181058</v>
      </c>
      <c r="N344" s="66">
        <v>7567</v>
      </c>
      <c r="O344" s="66">
        <v>61560</v>
      </c>
      <c r="P344" s="66">
        <v>242617</v>
      </c>
      <c r="Q344" s="67">
        <v>0.4</v>
      </c>
      <c r="R344" s="66">
        <v>97047</v>
      </c>
      <c r="S344" s="66">
        <v>339664</v>
      </c>
      <c r="T344" s="106">
        <f>IF(A344="Upgrade",IF(OR(H344=4,H344=5),_xlfn.XLOOKUP(I344,'Renewal Rates'!$A$22:$A$27,'Renewal Rates'!$B$22:$B$27,'Renewal Rates'!$B$27,0),'Renewal Rates'!$F$7),IF(A344="Renewal",100%,0%))</f>
        <v>2.6599999999999999E-2</v>
      </c>
      <c r="U344" s="68">
        <f t="shared" si="5"/>
        <v>9035.0623999999989</v>
      </c>
    </row>
    <row r="345" spans="1:21" s="41" customFormat="1" ht="13.8" x14ac:dyDescent="0.3">
      <c r="A345" s="115" t="s">
        <v>21</v>
      </c>
      <c r="B345" s="116">
        <v>2000136909</v>
      </c>
      <c r="C345" s="116">
        <v>11.02</v>
      </c>
      <c r="D345" s="117">
        <v>29.8</v>
      </c>
      <c r="E345" s="117"/>
      <c r="F345" s="117">
        <v>825</v>
      </c>
      <c r="G345" s="117">
        <v>1350</v>
      </c>
      <c r="H345" s="123"/>
      <c r="I345" s="117" t="s">
        <v>122</v>
      </c>
      <c r="J345" s="115">
        <v>377</v>
      </c>
      <c r="K345" s="115" t="s">
        <v>23</v>
      </c>
      <c r="L345" s="117" t="s">
        <v>24</v>
      </c>
      <c r="M345" s="66">
        <v>219738</v>
      </c>
      <c r="N345" s="66">
        <v>7362</v>
      </c>
      <c r="O345" s="66">
        <v>74711</v>
      </c>
      <c r="P345" s="66">
        <v>294449</v>
      </c>
      <c r="Q345" s="67">
        <v>0.4</v>
      </c>
      <c r="R345" s="66">
        <v>117779</v>
      </c>
      <c r="S345" s="66">
        <v>412228</v>
      </c>
      <c r="T345" s="106">
        <f>IF(A345="Upgrade",IF(OR(H345=4,H345=5),_xlfn.XLOOKUP(I345,'Renewal Rates'!$A$22:$A$27,'Renewal Rates'!$B$22:$B$27,'Renewal Rates'!$B$27,0),'Renewal Rates'!$F$7),IF(A345="Renewal",100%,0%))</f>
        <v>2.6599999999999999E-2</v>
      </c>
      <c r="U345" s="68">
        <f t="shared" si="5"/>
        <v>10965.264799999999</v>
      </c>
    </row>
    <row r="346" spans="1:21" s="41" customFormat="1" ht="13.8" x14ac:dyDescent="0.3">
      <c r="A346" s="115" t="s">
        <v>21</v>
      </c>
      <c r="B346" s="116">
        <v>2000589094</v>
      </c>
      <c r="C346" s="116">
        <v>11.02</v>
      </c>
      <c r="D346" s="117">
        <v>13</v>
      </c>
      <c r="E346" s="117"/>
      <c r="F346" s="117">
        <v>825</v>
      </c>
      <c r="G346" s="117">
        <v>1350</v>
      </c>
      <c r="H346" s="123"/>
      <c r="I346" s="117" t="s">
        <v>122</v>
      </c>
      <c r="J346" s="115">
        <v>377</v>
      </c>
      <c r="K346" s="115" t="s">
        <v>23</v>
      </c>
      <c r="L346" s="117" t="s">
        <v>24</v>
      </c>
      <c r="M346" s="66">
        <v>106160</v>
      </c>
      <c r="N346" s="66">
        <v>8167</v>
      </c>
      <c r="O346" s="66">
        <v>36094</v>
      </c>
      <c r="P346" s="66">
        <v>142255</v>
      </c>
      <c r="Q346" s="67">
        <v>0.4</v>
      </c>
      <c r="R346" s="66">
        <v>56902</v>
      </c>
      <c r="S346" s="66">
        <v>199157</v>
      </c>
      <c r="T346" s="106">
        <f>IF(A346="Upgrade",IF(OR(H346=4,H346=5),_xlfn.XLOOKUP(I346,'Renewal Rates'!$A$22:$A$27,'Renewal Rates'!$B$22:$B$27,'Renewal Rates'!$B$27,0),'Renewal Rates'!$F$7),IF(A346="Renewal",100%,0%))</f>
        <v>2.6599999999999999E-2</v>
      </c>
      <c r="U346" s="68">
        <f t="shared" si="5"/>
        <v>5297.5761999999995</v>
      </c>
    </row>
    <row r="347" spans="1:21" s="41" customFormat="1" ht="13.8" x14ac:dyDescent="0.3">
      <c r="A347" s="115" t="s">
        <v>25</v>
      </c>
      <c r="B347" s="116" t="s">
        <v>22</v>
      </c>
      <c r="C347" s="116">
        <v>11.007</v>
      </c>
      <c r="D347" s="117"/>
      <c r="E347" s="117">
        <v>79.900000000000006</v>
      </c>
      <c r="F347" s="117"/>
      <c r="G347" s="117">
        <v>525</v>
      </c>
      <c r="H347" s="123"/>
      <c r="I347" s="117" t="s">
        <v>122</v>
      </c>
      <c r="J347" s="115">
        <v>377</v>
      </c>
      <c r="K347" s="115" t="s">
        <v>23</v>
      </c>
      <c r="L347" s="117" t="s">
        <v>24</v>
      </c>
      <c r="M347" s="66">
        <v>249202</v>
      </c>
      <c r="N347" s="66">
        <v>3118</v>
      </c>
      <c r="O347" s="66">
        <v>84729</v>
      </c>
      <c r="P347" s="66">
        <v>333931</v>
      </c>
      <c r="Q347" s="67">
        <v>0.4</v>
      </c>
      <c r="R347" s="66">
        <v>133572</v>
      </c>
      <c r="S347" s="66">
        <v>467504</v>
      </c>
      <c r="T347" s="106">
        <f>IF(A347="Upgrade",IF(OR(H347=4,H347=5),_xlfn.XLOOKUP(I347,'Renewal Rates'!$A$22:$A$27,'Renewal Rates'!$B$22:$B$27,'Renewal Rates'!$B$27,0),'Renewal Rates'!$F$7),IF(A347="Renewal",100%,0%))</f>
        <v>0</v>
      </c>
      <c r="U347" s="68">
        <f t="shared" si="5"/>
        <v>0</v>
      </c>
    </row>
    <row r="348" spans="1:21" s="41" customFormat="1" ht="13.8" x14ac:dyDescent="0.3">
      <c r="A348" s="115" t="s">
        <v>21</v>
      </c>
      <c r="B348" s="116">
        <v>2000129299</v>
      </c>
      <c r="C348" s="116">
        <v>11.019</v>
      </c>
      <c r="D348" s="117">
        <v>80.599999999999994</v>
      </c>
      <c r="E348" s="117"/>
      <c r="F348" s="117">
        <v>825</v>
      </c>
      <c r="G348" s="117">
        <v>1275</v>
      </c>
      <c r="H348" s="123"/>
      <c r="I348" s="117" t="s">
        <v>122</v>
      </c>
      <c r="J348" s="115">
        <v>377</v>
      </c>
      <c r="K348" s="115" t="s">
        <v>23</v>
      </c>
      <c r="L348" s="117" t="s">
        <v>24</v>
      </c>
      <c r="M348" s="66">
        <v>545416</v>
      </c>
      <c r="N348" s="66">
        <v>6771</v>
      </c>
      <c r="O348" s="66">
        <v>185442</v>
      </c>
      <c r="P348" s="66">
        <v>730858</v>
      </c>
      <c r="Q348" s="67">
        <v>0.4</v>
      </c>
      <c r="R348" s="66">
        <v>292343</v>
      </c>
      <c r="S348" s="66">
        <v>1023201</v>
      </c>
      <c r="T348" s="106">
        <f>IF(A348="Upgrade",IF(OR(H348=4,H348=5),_xlfn.XLOOKUP(I348,'Renewal Rates'!$A$22:$A$27,'Renewal Rates'!$B$22:$B$27,'Renewal Rates'!$B$27,0),'Renewal Rates'!$F$7),IF(A348="Renewal",100%,0%))</f>
        <v>2.6599999999999999E-2</v>
      </c>
      <c r="U348" s="68">
        <f t="shared" si="5"/>
        <v>27217.1466</v>
      </c>
    </row>
    <row r="349" spans="1:21" s="41" customFormat="1" ht="13.8" x14ac:dyDescent="0.3">
      <c r="A349" s="115" t="s">
        <v>21</v>
      </c>
      <c r="B349" s="116">
        <v>2000072076</v>
      </c>
      <c r="C349" s="116">
        <v>11.019</v>
      </c>
      <c r="D349" s="117">
        <v>41.5</v>
      </c>
      <c r="E349" s="117"/>
      <c r="F349" s="117">
        <v>825</v>
      </c>
      <c r="G349" s="117">
        <v>1275</v>
      </c>
      <c r="H349" s="123"/>
      <c r="I349" s="117" t="s">
        <v>122</v>
      </c>
      <c r="J349" s="115">
        <v>377</v>
      </c>
      <c r="K349" s="115" t="s">
        <v>23</v>
      </c>
      <c r="L349" s="117" t="s">
        <v>24</v>
      </c>
      <c r="M349" s="66">
        <v>289943</v>
      </c>
      <c r="N349" s="66">
        <v>6987</v>
      </c>
      <c r="O349" s="66">
        <v>98581</v>
      </c>
      <c r="P349" s="66">
        <v>388524</v>
      </c>
      <c r="Q349" s="67">
        <v>0.4</v>
      </c>
      <c r="R349" s="66">
        <v>155409</v>
      </c>
      <c r="S349" s="66">
        <v>543933</v>
      </c>
      <c r="T349" s="106">
        <f>IF(A349="Upgrade",IF(OR(H349=4,H349=5),_xlfn.XLOOKUP(I349,'Renewal Rates'!$A$22:$A$27,'Renewal Rates'!$B$22:$B$27,'Renewal Rates'!$B$27,0),'Renewal Rates'!$F$7),IF(A349="Renewal",100%,0%))</f>
        <v>2.6599999999999999E-2</v>
      </c>
      <c r="U349" s="68">
        <f t="shared" si="5"/>
        <v>14468.6178</v>
      </c>
    </row>
    <row r="350" spans="1:21" s="41" customFormat="1" ht="13.8" x14ac:dyDescent="0.3">
      <c r="A350" s="115" t="s">
        <v>21</v>
      </c>
      <c r="B350" s="116">
        <v>2000211493</v>
      </c>
      <c r="C350" s="116">
        <v>11.031000000000001</v>
      </c>
      <c r="D350" s="117">
        <v>9.5</v>
      </c>
      <c r="E350" s="117"/>
      <c r="F350" s="117">
        <v>225</v>
      </c>
      <c r="G350" s="117">
        <v>375</v>
      </c>
      <c r="H350" s="123"/>
      <c r="I350" s="117" t="s">
        <v>122</v>
      </c>
      <c r="J350" s="115">
        <v>377</v>
      </c>
      <c r="K350" s="115" t="s">
        <v>23</v>
      </c>
      <c r="L350" s="117" t="s">
        <v>24</v>
      </c>
      <c r="M350" s="66">
        <v>43749</v>
      </c>
      <c r="N350" s="66">
        <v>4604</v>
      </c>
      <c r="O350" s="66">
        <v>14875</v>
      </c>
      <c r="P350" s="66">
        <v>58623</v>
      </c>
      <c r="Q350" s="67">
        <v>0.4</v>
      </c>
      <c r="R350" s="66">
        <v>23449</v>
      </c>
      <c r="S350" s="66">
        <v>82073</v>
      </c>
      <c r="T350" s="106">
        <f>IF(A350="Upgrade",IF(OR(H350=4,H350=5),_xlfn.XLOOKUP(I350,'Renewal Rates'!$A$22:$A$27,'Renewal Rates'!$B$22:$B$27,'Renewal Rates'!$B$27,0),'Renewal Rates'!$F$7),IF(A350="Renewal",100%,0%))</f>
        <v>2.6599999999999999E-2</v>
      </c>
      <c r="U350" s="68">
        <f t="shared" si="5"/>
        <v>2183.1417999999999</v>
      </c>
    </row>
    <row r="351" spans="1:21" s="41" customFormat="1" ht="13.8" x14ac:dyDescent="0.3">
      <c r="A351" s="115" t="s">
        <v>21</v>
      </c>
      <c r="B351" s="116">
        <v>2000266974</v>
      </c>
      <c r="C351" s="116">
        <v>11.031000000000001</v>
      </c>
      <c r="D351" s="117">
        <v>55.7</v>
      </c>
      <c r="E351" s="117"/>
      <c r="F351" s="117">
        <v>225</v>
      </c>
      <c r="G351" s="117">
        <v>375</v>
      </c>
      <c r="H351" s="123"/>
      <c r="I351" s="117" t="s">
        <v>122</v>
      </c>
      <c r="J351" s="115">
        <v>377</v>
      </c>
      <c r="K351" s="115" t="s">
        <v>23</v>
      </c>
      <c r="L351" s="117" t="s">
        <v>24</v>
      </c>
      <c r="M351" s="66">
        <v>134565</v>
      </c>
      <c r="N351" s="66">
        <v>2416</v>
      </c>
      <c r="O351" s="66">
        <v>45752</v>
      </c>
      <c r="P351" s="66">
        <v>180317</v>
      </c>
      <c r="Q351" s="67">
        <v>0.4</v>
      </c>
      <c r="R351" s="66">
        <v>72127</v>
      </c>
      <c r="S351" s="66">
        <v>252443</v>
      </c>
      <c r="T351" s="106">
        <f>IF(A351="Upgrade",IF(OR(H351=4,H351=5),_xlfn.XLOOKUP(I351,'Renewal Rates'!$A$22:$A$27,'Renewal Rates'!$B$22:$B$27,'Renewal Rates'!$B$27,0),'Renewal Rates'!$F$7),IF(A351="Renewal",100%,0%))</f>
        <v>2.6599999999999999E-2</v>
      </c>
      <c r="U351" s="68">
        <f t="shared" si="5"/>
        <v>6714.9838</v>
      </c>
    </row>
    <row r="352" spans="1:21" s="41" customFormat="1" ht="13.8" x14ac:dyDescent="0.3">
      <c r="A352" s="115" t="s">
        <v>21</v>
      </c>
      <c r="B352" s="116">
        <v>2000575645</v>
      </c>
      <c r="C352" s="116">
        <v>11.031000000000001</v>
      </c>
      <c r="D352" s="117">
        <v>31</v>
      </c>
      <c r="E352" s="117"/>
      <c r="F352" s="117">
        <v>225</v>
      </c>
      <c r="G352" s="117">
        <v>375</v>
      </c>
      <c r="H352" s="123"/>
      <c r="I352" s="117" t="s">
        <v>122</v>
      </c>
      <c r="J352" s="115">
        <v>377</v>
      </c>
      <c r="K352" s="115" t="s">
        <v>23</v>
      </c>
      <c r="L352" s="117" t="s">
        <v>24</v>
      </c>
      <c r="M352" s="66">
        <v>71860</v>
      </c>
      <c r="N352" s="66">
        <v>2315</v>
      </c>
      <c r="O352" s="66">
        <v>24433</v>
      </c>
      <c r="P352" s="66">
        <v>96293</v>
      </c>
      <c r="Q352" s="67">
        <v>0.4</v>
      </c>
      <c r="R352" s="66">
        <v>38517</v>
      </c>
      <c r="S352" s="66">
        <v>134810</v>
      </c>
      <c r="T352" s="106">
        <f>IF(A352="Upgrade",IF(OR(H352=4,H352=5),_xlfn.XLOOKUP(I352,'Renewal Rates'!$A$22:$A$27,'Renewal Rates'!$B$22:$B$27,'Renewal Rates'!$B$27,0),'Renewal Rates'!$F$7),IF(A352="Renewal",100%,0%))</f>
        <v>2.6599999999999999E-2</v>
      </c>
      <c r="U352" s="68">
        <f t="shared" si="5"/>
        <v>3585.9459999999999</v>
      </c>
    </row>
    <row r="353" spans="1:21" s="41" customFormat="1" ht="13.8" x14ac:dyDescent="0.3">
      <c r="A353" s="115" t="s">
        <v>21</v>
      </c>
      <c r="B353" s="116">
        <v>2000251787</v>
      </c>
      <c r="C353" s="116">
        <v>11.018000000000001</v>
      </c>
      <c r="D353" s="117">
        <v>57</v>
      </c>
      <c r="E353" s="117"/>
      <c r="F353" s="117">
        <v>825</v>
      </c>
      <c r="G353" s="117">
        <v>1275</v>
      </c>
      <c r="H353" s="123"/>
      <c r="I353" s="117" t="s">
        <v>122</v>
      </c>
      <c r="J353" s="115">
        <v>377</v>
      </c>
      <c r="K353" s="115" t="s">
        <v>23</v>
      </c>
      <c r="L353" s="117" t="s">
        <v>24</v>
      </c>
      <c r="M353" s="66">
        <v>395181</v>
      </c>
      <c r="N353" s="66">
        <v>6928</v>
      </c>
      <c r="O353" s="66">
        <v>134361</v>
      </c>
      <c r="P353" s="66">
        <v>529542</v>
      </c>
      <c r="Q353" s="67">
        <v>0.4</v>
      </c>
      <c r="R353" s="66">
        <v>211817</v>
      </c>
      <c r="S353" s="66">
        <v>741359</v>
      </c>
      <c r="T353" s="106">
        <f>IF(A353="Upgrade",IF(OR(H353=4,H353=5),_xlfn.XLOOKUP(I353,'Renewal Rates'!$A$22:$A$27,'Renewal Rates'!$B$22:$B$27,'Renewal Rates'!$B$27,0),'Renewal Rates'!$F$7),IF(A353="Renewal",100%,0%))</f>
        <v>2.6599999999999999E-2</v>
      </c>
      <c r="U353" s="68">
        <f t="shared" si="5"/>
        <v>19720.149399999998</v>
      </c>
    </row>
    <row r="354" spans="1:21" s="41" customFormat="1" ht="13.8" x14ac:dyDescent="0.3">
      <c r="A354" s="115" t="s">
        <v>21</v>
      </c>
      <c r="B354" s="116">
        <v>2000225664</v>
      </c>
      <c r="C354" s="116">
        <v>11.016999999999999</v>
      </c>
      <c r="D354" s="117">
        <v>70.099999999999994</v>
      </c>
      <c r="E354" s="117"/>
      <c r="F354" s="117">
        <v>825</v>
      </c>
      <c r="G354" s="117">
        <v>1200</v>
      </c>
      <c r="H354" s="123"/>
      <c r="I354" s="117" t="s">
        <v>122</v>
      </c>
      <c r="J354" s="115">
        <v>377</v>
      </c>
      <c r="K354" s="115" t="s">
        <v>23</v>
      </c>
      <c r="L354" s="117" t="s">
        <v>24</v>
      </c>
      <c r="M354" s="66">
        <v>540515</v>
      </c>
      <c r="N354" s="66">
        <v>7714</v>
      </c>
      <c r="O354" s="66">
        <v>183775</v>
      </c>
      <c r="P354" s="66">
        <v>724290</v>
      </c>
      <c r="Q354" s="67">
        <v>0.4</v>
      </c>
      <c r="R354" s="66">
        <v>289716</v>
      </c>
      <c r="S354" s="66">
        <v>1014006</v>
      </c>
      <c r="T354" s="106">
        <f>IF(A354="Upgrade",IF(OR(H354=4,H354=5),_xlfn.XLOOKUP(I354,'Renewal Rates'!$A$22:$A$27,'Renewal Rates'!$B$22:$B$27,'Renewal Rates'!$B$27,0),'Renewal Rates'!$F$7),IF(A354="Renewal",100%,0%))</f>
        <v>2.6599999999999999E-2</v>
      </c>
      <c r="U354" s="68">
        <f t="shared" si="5"/>
        <v>26972.559599999997</v>
      </c>
    </row>
    <row r="355" spans="1:21" s="41" customFormat="1" ht="13.8" x14ac:dyDescent="0.3">
      <c r="A355" s="115" t="s">
        <v>25</v>
      </c>
      <c r="B355" s="116" t="s">
        <v>22</v>
      </c>
      <c r="C355" s="116">
        <v>11.007999999999999</v>
      </c>
      <c r="D355" s="117"/>
      <c r="E355" s="117">
        <v>77.099999999999994</v>
      </c>
      <c r="F355" s="117"/>
      <c r="G355" s="117">
        <v>375</v>
      </c>
      <c r="H355" s="123"/>
      <c r="I355" s="117" t="s">
        <v>122</v>
      </c>
      <c r="J355" s="115">
        <v>377</v>
      </c>
      <c r="K355" s="115" t="s">
        <v>23</v>
      </c>
      <c r="L355" s="117" t="s">
        <v>24</v>
      </c>
      <c r="M355" s="66">
        <v>175855</v>
      </c>
      <c r="N355" s="66">
        <v>2281</v>
      </c>
      <c r="O355" s="66">
        <v>59791</v>
      </c>
      <c r="P355" s="66">
        <v>235646</v>
      </c>
      <c r="Q355" s="67">
        <v>0.4</v>
      </c>
      <c r="R355" s="66">
        <v>94259</v>
      </c>
      <c r="S355" s="66">
        <v>329905</v>
      </c>
      <c r="T355" s="106">
        <f>IF(A355="Upgrade",IF(OR(H355=4,H355=5),_xlfn.XLOOKUP(I355,'Renewal Rates'!$A$22:$A$27,'Renewal Rates'!$B$22:$B$27,'Renewal Rates'!$B$27,0),'Renewal Rates'!$F$7),IF(A355="Renewal",100%,0%))</f>
        <v>0</v>
      </c>
      <c r="U355" s="68">
        <f t="shared" si="5"/>
        <v>0</v>
      </c>
    </row>
    <row r="356" spans="1:21" s="41" customFormat="1" ht="13.8" x14ac:dyDescent="0.3">
      <c r="A356" s="115" t="s">
        <v>21</v>
      </c>
      <c r="B356" s="116">
        <v>2000036366</v>
      </c>
      <c r="C356" s="116">
        <v>11.016</v>
      </c>
      <c r="D356" s="117">
        <v>66.2</v>
      </c>
      <c r="E356" s="117"/>
      <c r="F356" s="117">
        <v>750</v>
      </c>
      <c r="G356" s="117">
        <v>1200</v>
      </c>
      <c r="H356" s="123">
        <v>4</v>
      </c>
      <c r="I356" s="117">
        <v>2</v>
      </c>
      <c r="J356" s="115">
        <v>377</v>
      </c>
      <c r="K356" s="115" t="s">
        <v>23</v>
      </c>
      <c r="L356" s="117" t="s">
        <v>24</v>
      </c>
      <c r="M356" s="66">
        <v>508774</v>
      </c>
      <c r="N356" s="66">
        <v>7682</v>
      </c>
      <c r="O356" s="66">
        <v>172983</v>
      </c>
      <c r="P356" s="66">
        <v>681757</v>
      </c>
      <c r="Q356" s="67">
        <v>0.4</v>
      </c>
      <c r="R356" s="66">
        <v>272703</v>
      </c>
      <c r="S356" s="66">
        <v>954459</v>
      </c>
      <c r="T356" s="106">
        <f>IF(A356="Upgrade",IF(OR(H356=4,H356=5),_xlfn.XLOOKUP(I356,'Renewal Rates'!$A$22:$A$27,'Renewal Rates'!$B$22:$B$27,'Renewal Rates'!$B$27,0),'Renewal Rates'!$F$7),IF(A356="Renewal",100%,0%))</f>
        <v>0</v>
      </c>
      <c r="U356" s="68">
        <f t="shared" si="5"/>
        <v>0</v>
      </c>
    </row>
    <row r="357" spans="1:21" s="41" customFormat="1" ht="13.8" x14ac:dyDescent="0.3">
      <c r="A357" s="115" t="s">
        <v>21</v>
      </c>
      <c r="B357" s="116">
        <v>2000141927</v>
      </c>
      <c r="C357" s="116">
        <v>11.016</v>
      </c>
      <c r="D357" s="117">
        <v>31.7</v>
      </c>
      <c r="E357" s="117"/>
      <c r="F357" s="117">
        <v>750</v>
      </c>
      <c r="G357" s="117">
        <v>1200</v>
      </c>
      <c r="H357" s="123"/>
      <c r="I357" s="117" t="s">
        <v>122</v>
      </c>
      <c r="J357" s="115">
        <v>377</v>
      </c>
      <c r="K357" s="115" t="s">
        <v>23</v>
      </c>
      <c r="L357" s="117" t="s">
        <v>24</v>
      </c>
      <c r="M357" s="66">
        <v>253761</v>
      </c>
      <c r="N357" s="66">
        <v>8015</v>
      </c>
      <c r="O357" s="66">
        <v>86279</v>
      </c>
      <c r="P357" s="66">
        <v>340039</v>
      </c>
      <c r="Q357" s="67">
        <v>0.4</v>
      </c>
      <c r="R357" s="66">
        <v>136016</v>
      </c>
      <c r="S357" s="66">
        <v>476055</v>
      </c>
      <c r="T357" s="106">
        <f>IF(A357="Upgrade",IF(OR(H357=4,H357=5),_xlfn.XLOOKUP(I357,'Renewal Rates'!$A$22:$A$27,'Renewal Rates'!$B$22:$B$27,'Renewal Rates'!$B$27,0),'Renewal Rates'!$F$7),IF(A357="Renewal",100%,0%))</f>
        <v>2.6599999999999999E-2</v>
      </c>
      <c r="U357" s="68">
        <f t="shared" si="5"/>
        <v>12663.063</v>
      </c>
    </row>
    <row r="358" spans="1:21" s="41" customFormat="1" ht="13.8" x14ac:dyDescent="0.3">
      <c r="A358" s="115" t="s">
        <v>21</v>
      </c>
      <c r="B358" s="116">
        <v>3000021733</v>
      </c>
      <c r="C358" s="116">
        <v>11.015000000000001</v>
      </c>
      <c r="D358" s="117">
        <v>15.8</v>
      </c>
      <c r="E358" s="117"/>
      <c r="F358" s="117">
        <v>900</v>
      </c>
      <c r="G358" s="117">
        <v>1200</v>
      </c>
      <c r="H358" s="123"/>
      <c r="I358" s="117" t="s">
        <v>122</v>
      </c>
      <c r="J358" s="115">
        <v>377</v>
      </c>
      <c r="K358" s="115" t="s">
        <v>23</v>
      </c>
      <c r="L358" s="117" t="s">
        <v>24</v>
      </c>
      <c r="M358" s="66">
        <v>148283</v>
      </c>
      <c r="N358" s="66">
        <v>9380</v>
      </c>
      <c r="O358" s="66">
        <v>50416</v>
      </c>
      <c r="P358" s="66">
        <v>198700</v>
      </c>
      <c r="Q358" s="67">
        <v>0.4</v>
      </c>
      <c r="R358" s="66">
        <v>79480</v>
      </c>
      <c r="S358" s="66">
        <v>278180</v>
      </c>
      <c r="T358" s="106">
        <f>IF(A358="Upgrade",IF(OR(H358=4,H358=5),_xlfn.XLOOKUP(I358,'Renewal Rates'!$A$22:$A$27,'Renewal Rates'!$B$22:$B$27,'Renewal Rates'!$B$27,0),'Renewal Rates'!$F$7),IF(A358="Renewal",100%,0%))</f>
        <v>2.6599999999999999E-2</v>
      </c>
      <c r="U358" s="68">
        <f t="shared" si="5"/>
        <v>7399.5879999999997</v>
      </c>
    </row>
    <row r="359" spans="1:21" s="41" customFormat="1" ht="13.8" x14ac:dyDescent="0.3">
      <c r="A359" s="115" t="s">
        <v>21</v>
      </c>
      <c r="B359" s="116">
        <v>3000021735</v>
      </c>
      <c r="C359" s="116">
        <v>11.015000000000001</v>
      </c>
      <c r="D359" s="117">
        <v>10.4</v>
      </c>
      <c r="E359" s="117"/>
      <c r="F359" s="117">
        <v>900</v>
      </c>
      <c r="G359" s="117">
        <v>1200</v>
      </c>
      <c r="H359" s="123"/>
      <c r="I359" s="117" t="s">
        <v>122</v>
      </c>
      <c r="J359" s="115">
        <v>377</v>
      </c>
      <c r="K359" s="115" t="s">
        <v>23</v>
      </c>
      <c r="L359" s="117" t="s">
        <v>24</v>
      </c>
      <c r="M359" s="66">
        <v>112816</v>
      </c>
      <c r="N359" s="66">
        <v>10854</v>
      </c>
      <c r="O359" s="66">
        <v>38358</v>
      </c>
      <c r="P359" s="66">
        <v>151174</v>
      </c>
      <c r="Q359" s="67">
        <v>0.4</v>
      </c>
      <c r="R359" s="66">
        <v>60469</v>
      </c>
      <c r="S359" s="66">
        <v>211643</v>
      </c>
      <c r="T359" s="106">
        <f>IF(A359="Upgrade",IF(OR(H359=4,H359=5),_xlfn.XLOOKUP(I359,'Renewal Rates'!$A$22:$A$27,'Renewal Rates'!$B$22:$B$27,'Renewal Rates'!$B$27,0),'Renewal Rates'!$F$7),IF(A359="Renewal",100%,0%))</f>
        <v>2.6599999999999999E-2</v>
      </c>
      <c r="U359" s="68">
        <f t="shared" si="5"/>
        <v>5629.7037999999993</v>
      </c>
    </row>
    <row r="360" spans="1:21" s="41" customFormat="1" ht="13.8" x14ac:dyDescent="0.3">
      <c r="A360" s="115" t="s">
        <v>21</v>
      </c>
      <c r="B360" s="116">
        <v>2000405181</v>
      </c>
      <c r="C360" s="116">
        <v>11.015000000000001</v>
      </c>
      <c r="D360" s="117">
        <v>65.900000000000006</v>
      </c>
      <c r="E360" s="117"/>
      <c r="F360" s="117">
        <v>900</v>
      </c>
      <c r="G360" s="117">
        <v>1200</v>
      </c>
      <c r="H360" s="123">
        <v>5</v>
      </c>
      <c r="I360" s="117">
        <v>3</v>
      </c>
      <c r="J360" s="115">
        <v>377</v>
      </c>
      <c r="K360" s="115" t="s">
        <v>23</v>
      </c>
      <c r="L360" s="117" t="s">
        <v>24</v>
      </c>
      <c r="M360" s="66">
        <v>507890</v>
      </c>
      <c r="N360" s="66">
        <v>7712</v>
      </c>
      <c r="O360" s="66">
        <v>172683</v>
      </c>
      <c r="P360" s="66">
        <v>680573</v>
      </c>
      <c r="Q360" s="67">
        <v>0.4</v>
      </c>
      <c r="R360" s="66">
        <v>272229</v>
      </c>
      <c r="S360" s="66">
        <v>952802</v>
      </c>
      <c r="T360" s="106">
        <f>IF(A360="Upgrade",IF(OR(H360=4,H360=5),_xlfn.XLOOKUP(I360,'Renewal Rates'!$A$22:$A$27,'Renewal Rates'!$B$22:$B$27,'Renewal Rates'!$B$27,0),'Renewal Rates'!$F$7),IF(A360="Renewal",100%,0%))</f>
        <v>0.21</v>
      </c>
      <c r="U360" s="68">
        <f t="shared" si="5"/>
        <v>200088.41999999998</v>
      </c>
    </row>
    <row r="361" spans="1:21" s="41" customFormat="1" ht="13.8" x14ac:dyDescent="0.3">
      <c r="A361" s="115" t="s">
        <v>21</v>
      </c>
      <c r="B361" s="116">
        <v>2000676989</v>
      </c>
      <c r="C361" s="116">
        <v>11.013999999999999</v>
      </c>
      <c r="D361" s="117">
        <v>40.299999999999997</v>
      </c>
      <c r="E361" s="117"/>
      <c r="F361" s="117">
        <v>750</v>
      </c>
      <c r="G361" s="117">
        <v>1050</v>
      </c>
      <c r="H361" s="123"/>
      <c r="I361" s="117" t="s">
        <v>122</v>
      </c>
      <c r="J361" s="115">
        <v>377</v>
      </c>
      <c r="K361" s="115" t="s">
        <v>23</v>
      </c>
      <c r="L361" s="117" t="s">
        <v>24</v>
      </c>
      <c r="M361" s="66">
        <v>261497</v>
      </c>
      <c r="N361" s="66">
        <v>6487</v>
      </c>
      <c r="O361" s="66">
        <v>88909</v>
      </c>
      <c r="P361" s="66">
        <v>350406</v>
      </c>
      <c r="Q361" s="67">
        <v>0.4</v>
      </c>
      <c r="R361" s="66">
        <v>140162</v>
      </c>
      <c r="S361" s="66">
        <v>490568</v>
      </c>
      <c r="T361" s="106">
        <f>IF(A361="Upgrade",IF(OR(H361=4,H361=5),_xlfn.XLOOKUP(I361,'Renewal Rates'!$A$22:$A$27,'Renewal Rates'!$B$22:$B$27,'Renewal Rates'!$B$27,0),'Renewal Rates'!$F$7),IF(A361="Renewal",100%,0%))</f>
        <v>2.6599999999999999E-2</v>
      </c>
      <c r="U361" s="68">
        <f t="shared" si="5"/>
        <v>13049.1088</v>
      </c>
    </row>
    <row r="362" spans="1:21" s="41" customFormat="1" ht="13.8" x14ac:dyDescent="0.3">
      <c r="A362" s="115" t="s">
        <v>21</v>
      </c>
      <c r="B362" s="116">
        <v>2000850195</v>
      </c>
      <c r="C362" s="116">
        <v>11.013999999999999</v>
      </c>
      <c r="D362" s="117">
        <v>70</v>
      </c>
      <c r="E362" s="117"/>
      <c r="F362" s="117">
        <v>750</v>
      </c>
      <c r="G362" s="117">
        <v>1050</v>
      </c>
      <c r="H362" s="123"/>
      <c r="I362" s="117" t="s">
        <v>122</v>
      </c>
      <c r="J362" s="115">
        <v>377</v>
      </c>
      <c r="K362" s="115" t="s">
        <v>23</v>
      </c>
      <c r="L362" s="117" t="s">
        <v>24</v>
      </c>
      <c r="M362" s="66">
        <v>473274</v>
      </c>
      <c r="N362" s="66">
        <v>6758</v>
      </c>
      <c r="O362" s="66">
        <v>160913</v>
      </c>
      <c r="P362" s="66">
        <v>634187</v>
      </c>
      <c r="Q362" s="67">
        <v>0.4</v>
      </c>
      <c r="R362" s="66">
        <v>253675</v>
      </c>
      <c r="S362" s="66">
        <v>887862</v>
      </c>
      <c r="T362" s="106">
        <f>IF(A362="Upgrade",IF(OR(H362=4,H362=5),_xlfn.XLOOKUP(I362,'Renewal Rates'!$A$22:$A$27,'Renewal Rates'!$B$22:$B$27,'Renewal Rates'!$B$27,0),'Renewal Rates'!$F$7),IF(A362="Renewal",100%,0%))</f>
        <v>2.6599999999999999E-2</v>
      </c>
      <c r="U362" s="68">
        <f t="shared" si="5"/>
        <v>23617.129199999999</v>
      </c>
    </row>
    <row r="363" spans="1:21" s="41" customFormat="1" ht="13.8" x14ac:dyDescent="0.3">
      <c r="A363" s="115" t="s">
        <v>21</v>
      </c>
      <c r="B363" s="116">
        <v>2000760262</v>
      </c>
      <c r="C363" s="116">
        <v>11.013</v>
      </c>
      <c r="D363" s="117">
        <v>16.899999999999999</v>
      </c>
      <c r="E363" s="117"/>
      <c r="F363" s="117">
        <v>600</v>
      </c>
      <c r="G363" s="117">
        <v>975</v>
      </c>
      <c r="H363" s="123"/>
      <c r="I363" s="117" t="s">
        <v>122</v>
      </c>
      <c r="J363" s="115">
        <v>377</v>
      </c>
      <c r="K363" s="115" t="s">
        <v>23</v>
      </c>
      <c r="L363" s="117" t="s">
        <v>24</v>
      </c>
      <c r="M363" s="66">
        <v>143780</v>
      </c>
      <c r="N363" s="66">
        <v>8493</v>
      </c>
      <c r="O363" s="66">
        <v>48885</v>
      </c>
      <c r="P363" s="66">
        <v>192665</v>
      </c>
      <c r="Q363" s="67">
        <v>0.4</v>
      </c>
      <c r="R363" s="66">
        <v>77066</v>
      </c>
      <c r="S363" s="66">
        <v>269730</v>
      </c>
      <c r="T363" s="106">
        <f>IF(A363="Upgrade",IF(OR(H363=4,H363=5),_xlfn.XLOOKUP(I363,'Renewal Rates'!$A$22:$A$27,'Renewal Rates'!$B$22:$B$27,'Renewal Rates'!$B$27,0),'Renewal Rates'!$F$7),IF(A363="Renewal",100%,0%))</f>
        <v>2.6599999999999999E-2</v>
      </c>
      <c r="U363" s="68">
        <f t="shared" si="5"/>
        <v>7174.8179999999993</v>
      </c>
    </row>
    <row r="364" spans="1:21" s="41" customFormat="1" ht="13.8" x14ac:dyDescent="0.3">
      <c r="A364" s="115" t="s">
        <v>21</v>
      </c>
      <c r="B364" s="116">
        <v>2000008121</v>
      </c>
      <c r="C364" s="116">
        <v>11.013</v>
      </c>
      <c r="D364" s="117">
        <v>49.9</v>
      </c>
      <c r="E364" s="117"/>
      <c r="F364" s="117">
        <v>600</v>
      </c>
      <c r="G364" s="117">
        <v>975</v>
      </c>
      <c r="H364" s="123"/>
      <c r="I364" s="117" t="s">
        <v>122</v>
      </c>
      <c r="J364" s="115">
        <v>377</v>
      </c>
      <c r="K364" s="115" t="s">
        <v>23</v>
      </c>
      <c r="L364" s="117" t="s">
        <v>24</v>
      </c>
      <c r="M364" s="66">
        <v>334752</v>
      </c>
      <c r="N364" s="66">
        <v>6705</v>
      </c>
      <c r="O364" s="66">
        <v>113816</v>
      </c>
      <c r="P364" s="66">
        <v>448568</v>
      </c>
      <c r="Q364" s="67">
        <v>0.4</v>
      </c>
      <c r="R364" s="66">
        <v>179427</v>
      </c>
      <c r="S364" s="66">
        <v>627995</v>
      </c>
      <c r="T364" s="106">
        <f>IF(A364="Upgrade",IF(OR(H364=4,H364=5),_xlfn.XLOOKUP(I364,'Renewal Rates'!$A$22:$A$27,'Renewal Rates'!$B$22:$B$27,'Renewal Rates'!$B$27,0),'Renewal Rates'!$F$7),IF(A364="Renewal",100%,0%))</f>
        <v>2.6599999999999999E-2</v>
      </c>
      <c r="U364" s="68">
        <f t="shared" si="5"/>
        <v>16704.666999999998</v>
      </c>
    </row>
    <row r="365" spans="1:21" s="41" customFormat="1" ht="13.8" x14ac:dyDescent="0.3">
      <c r="A365" s="115" t="s">
        <v>21</v>
      </c>
      <c r="B365" s="116">
        <v>2000635991</v>
      </c>
      <c r="C365" s="116">
        <v>11.013</v>
      </c>
      <c r="D365" s="117">
        <v>26.4</v>
      </c>
      <c r="E365" s="117"/>
      <c r="F365" s="117">
        <v>600</v>
      </c>
      <c r="G365" s="117">
        <v>975</v>
      </c>
      <c r="H365" s="123"/>
      <c r="I365" s="117" t="s">
        <v>122</v>
      </c>
      <c r="J365" s="115">
        <v>377</v>
      </c>
      <c r="K365" s="115" t="s">
        <v>23</v>
      </c>
      <c r="L365" s="117" t="s">
        <v>24</v>
      </c>
      <c r="M365" s="66">
        <v>183971</v>
      </c>
      <c r="N365" s="66">
        <v>6979</v>
      </c>
      <c r="O365" s="66">
        <v>62550</v>
      </c>
      <c r="P365" s="66">
        <v>246521</v>
      </c>
      <c r="Q365" s="67">
        <v>0.4</v>
      </c>
      <c r="R365" s="66">
        <v>98608</v>
      </c>
      <c r="S365" s="66">
        <v>345129</v>
      </c>
      <c r="T365" s="106">
        <f>IF(A365="Upgrade",IF(OR(H365=4,H365=5),_xlfn.XLOOKUP(I365,'Renewal Rates'!$A$22:$A$27,'Renewal Rates'!$B$22:$B$27,'Renewal Rates'!$B$27,0),'Renewal Rates'!$F$7),IF(A365="Renewal",100%,0%))</f>
        <v>2.6599999999999999E-2</v>
      </c>
      <c r="U365" s="68">
        <f t="shared" si="5"/>
        <v>9180.4313999999995</v>
      </c>
    </row>
    <row r="366" spans="1:21" s="41" customFormat="1" ht="13.8" x14ac:dyDescent="0.3">
      <c r="A366" s="115" t="s">
        <v>21</v>
      </c>
      <c r="B366" s="116">
        <v>2000926339</v>
      </c>
      <c r="C366" s="116">
        <v>11.012</v>
      </c>
      <c r="D366" s="117">
        <v>42.9</v>
      </c>
      <c r="E366" s="117"/>
      <c r="F366" s="117">
        <v>600</v>
      </c>
      <c r="G366" s="117">
        <v>825</v>
      </c>
      <c r="H366" s="123"/>
      <c r="I366" s="117" t="s">
        <v>122</v>
      </c>
      <c r="J366" s="115">
        <v>377</v>
      </c>
      <c r="K366" s="115" t="s">
        <v>23</v>
      </c>
      <c r="L366" s="117" t="s">
        <v>24</v>
      </c>
      <c r="M366" s="66">
        <v>192253</v>
      </c>
      <c r="N366" s="66">
        <v>4478</v>
      </c>
      <c r="O366" s="66">
        <v>65366</v>
      </c>
      <c r="P366" s="66">
        <v>257619</v>
      </c>
      <c r="Q366" s="67">
        <v>0.4</v>
      </c>
      <c r="R366" s="66">
        <v>103048</v>
      </c>
      <c r="S366" s="66">
        <v>360667</v>
      </c>
      <c r="T366" s="106">
        <f>IF(A366="Upgrade",IF(OR(H366=4,H366=5),_xlfn.XLOOKUP(I366,'Renewal Rates'!$A$22:$A$27,'Renewal Rates'!$B$22:$B$27,'Renewal Rates'!$B$27,0),'Renewal Rates'!$F$7),IF(A366="Renewal",100%,0%))</f>
        <v>2.6599999999999999E-2</v>
      </c>
      <c r="U366" s="68">
        <f t="shared" si="5"/>
        <v>9593.7421999999988</v>
      </c>
    </row>
    <row r="367" spans="1:21" s="41" customFormat="1" ht="13.8" x14ac:dyDescent="0.3">
      <c r="A367" s="115" t="s">
        <v>21</v>
      </c>
      <c r="B367" s="116">
        <v>2000584847</v>
      </c>
      <c r="C367" s="116">
        <v>11.012</v>
      </c>
      <c r="D367" s="117">
        <v>65</v>
      </c>
      <c r="E367" s="117"/>
      <c r="F367" s="117">
        <v>525</v>
      </c>
      <c r="G367" s="117">
        <v>825</v>
      </c>
      <c r="H367" s="123">
        <v>5</v>
      </c>
      <c r="I367" s="117">
        <v>4</v>
      </c>
      <c r="J367" s="115">
        <v>377</v>
      </c>
      <c r="K367" s="115" t="s">
        <v>23</v>
      </c>
      <c r="L367" s="117" t="s">
        <v>24</v>
      </c>
      <c r="M367" s="66">
        <v>308241</v>
      </c>
      <c r="N367" s="66">
        <v>4742</v>
      </c>
      <c r="O367" s="66">
        <v>104802</v>
      </c>
      <c r="P367" s="66">
        <v>413043</v>
      </c>
      <c r="Q367" s="67">
        <v>0.4</v>
      </c>
      <c r="R367" s="66">
        <v>165217</v>
      </c>
      <c r="S367" s="66">
        <v>578260</v>
      </c>
      <c r="T367" s="106">
        <f>IF(A367="Upgrade",IF(OR(H367=4,H367=5),_xlfn.XLOOKUP(I367,'Renewal Rates'!$A$22:$A$27,'Renewal Rates'!$B$22:$B$27,'Renewal Rates'!$B$27,0),'Renewal Rates'!$F$7),IF(A367="Renewal",100%,0%))</f>
        <v>0.7</v>
      </c>
      <c r="U367" s="68">
        <f t="shared" si="5"/>
        <v>404782</v>
      </c>
    </row>
    <row r="368" spans="1:21" s="41" customFormat="1" ht="13.8" x14ac:dyDescent="0.3">
      <c r="A368" s="115" t="s">
        <v>21</v>
      </c>
      <c r="B368" s="116">
        <v>3000109664</v>
      </c>
      <c r="C368" s="116">
        <v>11.01</v>
      </c>
      <c r="D368" s="117">
        <v>22.4</v>
      </c>
      <c r="E368" s="117"/>
      <c r="F368" s="117">
        <v>600</v>
      </c>
      <c r="G368" s="117">
        <v>525</v>
      </c>
      <c r="H368" s="123"/>
      <c r="I368" s="117" t="s">
        <v>122</v>
      </c>
      <c r="J368" s="115">
        <v>385</v>
      </c>
      <c r="K368" s="115" t="s">
        <v>23</v>
      </c>
      <c r="L368" s="117" t="s">
        <v>24</v>
      </c>
      <c r="M368" s="66">
        <v>82878</v>
      </c>
      <c r="N368" s="66">
        <v>3707</v>
      </c>
      <c r="O368" s="66">
        <v>28179</v>
      </c>
      <c r="P368" s="66">
        <v>111057</v>
      </c>
      <c r="Q368" s="67">
        <v>0.4</v>
      </c>
      <c r="R368" s="66">
        <v>44423</v>
      </c>
      <c r="S368" s="66">
        <v>155479</v>
      </c>
      <c r="T368" s="106">
        <f>IF(A368="Upgrade",IF(OR(H368=4,H368=5),_xlfn.XLOOKUP(I368,'Renewal Rates'!$A$22:$A$27,'Renewal Rates'!$B$22:$B$27,'Renewal Rates'!$B$27,0),'Renewal Rates'!$F$7),IF(A368="Renewal",100%,0%))</f>
        <v>2.6599999999999999E-2</v>
      </c>
      <c r="U368" s="68">
        <f t="shared" si="5"/>
        <v>4135.7413999999999</v>
      </c>
    </row>
    <row r="369" spans="1:21" s="41" customFormat="1" ht="13.8" x14ac:dyDescent="0.3">
      <c r="A369" s="115" t="s">
        <v>21</v>
      </c>
      <c r="B369" s="116">
        <v>3000109663</v>
      </c>
      <c r="C369" s="116">
        <v>11.01</v>
      </c>
      <c r="D369" s="117">
        <v>5</v>
      </c>
      <c r="E369" s="117"/>
      <c r="F369" s="117">
        <v>450</v>
      </c>
      <c r="G369" s="117">
        <v>525</v>
      </c>
      <c r="H369" s="123">
        <v>5</v>
      </c>
      <c r="I369" s="117"/>
      <c r="J369" s="115">
        <v>385</v>
      </c>
      <c r="K369" s="115" t="s">
        <v>23</v>
      </c>
      <c r="L369" s="117" t="s">
        <v>24</v>
      </c>
      <c r="M369" s="66">
        <v>48248</v>
      </c>
      <c r="N369" s="66">
        <v>9745</v>
      </c>
      <c r="O369" s="66">
        <v>16404</v>
      </c>
      <c r="P369" s="66">
        <v>64652</v>
      </c>
      <c r="Q369" s="67">
        <v>0.4</v>
      </c>
      <c r="R369" s="66">
        <v>25861</v>
      </c>
      <c r="S369" s="66">
        <v>90513</v>
      </c>
      <c r="T369" s="106">
        <f>IF(A369="Upgrade",IF(OR(H369=4,H369=5),_xlfn.XLOOKUP(I369,'Renewal Rates'!$A$22:$A$27,'Renewal Rates'!$B$22:$B$27,'Renewal Rates'!$B$27,0),'Renewal Rates'!$F$7),IF(A369="Renewal",100%,0%))</f>
        <v>0.116578</v>
      </c>
      <c r="U369" s="68">
        <f t="shared" si="5"/>
        <v>10551.824514</v>
      </c>
    </row>
    <row r="370" spans="1:21" s="41" customFormat="1" ht="13.8" x14ac:dyDescent="0.3">
      <c r="A370" s="115" t="s">
        <v>21</v>
      </c>
      <c r="B370" s="116">
        <v>3000109662</v>
      </c>
      <c r="C370" s="116">
        <v>11.01</v>
      </c>
      <c r="D370" s="117">
        <v>30.1</v>
      </c>
      <c r="E370" s="117"/>
      <c r="F370" s="117">
        <v>450</v>
      </c>
      <c r="G370" s="117">
        <v>525</v>
      </c>
      <c r="H370" s="123"/>
      <c r="I370" s="117" t="s">
        <v>122</v>
      </c>
      <c r="J370" s="115">
        <v>385</v>
      </c>
      <c r="K370" s="115" t="s">
        <v>23</v>
      </c>
      <c r="L370" s="117" t="s">
        <v>24</v>
      </c>
      <c r="M370" s="66">
        <v>109102</v>
      </c>
      <c r="N370" s="66">
        <v>3621</v>
      </c>
      <c r="O370" s="66">
        <v>37095</v>
      </c>
      <c r="P370" s="66">
        <v>146197</v>
      </c>
      <c r="Q370" s="67">
        <v>0.4</v>
      </c>
      <c r="R370" s="66">
        <v>58479</v>
      </c>
      <c r="S370" s="66">
        <v>204676</v>
      </c>
      <c r="T370" s="106">
        <f>IF(A370="Upgrade",IF(OR(H370=4,H370=5),_xlfn.XLOOKUP(I370,'Renewal Rates'!$A$22:$A$27,'Renewal Rates'!$B$22:$B$27,'Renewal Rates'!$B$27,0),'Renewal Rates'!$F$7),IF(A370="Renewal",100%,0%))</f>
        <v>2.6599999999999999E-2</v>
      </c>
      <c r="U370" s="68">
        <f t="shared" si="5"/>
        <v>5444.3815999999997</v>
      </c>
    </row>
    <row r="371" spans="1:21" s="41" customFormat="1" ht="13.8" x14ac:dyDescent="0.3">
      <c r="A371" s="115" t="s">
        <v>21</v>
      </c>
      <c r="B371" s="116">
        <v>3000109661</v>
      </c>
      <c r="C371" s="116">
        <v>11.01</v>
      </c>
      <c r="D371" s="117">
        <v>22.6</v>
      </c>
      <c r="E371" s="117"/>
      <c r="F371" s="117">
        <v>300</v>
      </c>
      <c r="G371" s="117">
        <v>525</v>
      </c>
      <c r="H371" s="123"/>
      <c r="I371" s="117" t="s">
        <v>122</v>
      </c>
      <c r="J371" s="115">
        <v>385</v>
      </c>
      <c r="K371" s="115" t="s">
        <v>23</v>
      </c>
      <c r="L371" s="117" t="s">
        <v>24</v>
      </c>
      <c r="M371" s="66">
        <v>83065</v>
      </c>
      <c r="N371" s="66">
        <v>3681</v>
      </c>
      <c r="O371" s="66">
        <v>28242</v>
      </c>
      <c r="P371" s="66">
        <v>111307</v>
      </c>
      <c r="Q371" s="67">
        <v>0.4</v>
      </c>
      <c r="R371" s="66">
        <v>44523</v>
      </c>
      <c r="S371" s="66">
        <v>155830</v>
      </c>
      <c r="T371" s="106">
        <f>IF(A371="Upgrade",IF(OR(H371=4,H371=5),_xlfn.XLOOKUP(I371,'Renewal Rates'!$A$22:$A$27,'Renewal Rates'!$B$22:$B$27,'Renewal Rates'!$B$27,0),'Renewal Rates'!$F$7),IF(A371="Renewal",100%,0%))</f>
        <v>2.6599999999999999E-2</v>
      </c>
      <c r="U371" s="68">
        <f t="shared" si="5"/>
        <v>4145.0779999999995</v>
      </c>
    </row>
    <row r="372" spans="1:21" s="41" customFormat="1" ht="13.8" x14ac:dyDescent="0.3">
      <c r="A372" s="115" t="s">
        <v>21</v>
      </c>
      <c r="B372" s="116">
        <v>3000109660</v>
      </c>
      <c r="C372" s="116">
        <v>11.01</v>
      </c>
      <c r="D372" s="117">
        <v>35.700000000000003</v>
      </c>
      <c r="E372" s="117"/>
      <c r="F372" s="117">
        <v>225</v>
      </c>
      <c r="G372" s="117">
        <v>525</v>
      </c>
      <c r="H372" s="123"/>
      <c r="I372" s="117" t="s">
        <v>122</v>
      </c>
      <c r="J372" s="115">
        <v>385</v>
      </c>
      <c r="K372" s="115" t="s">
        <v>23</v>
      </c>
      <c r="L372" s="117" t="s">
        <v>24</v>
      </c>
      <c r="M372" s="66">
        <v>130351</v>
      </c>
      <c r="N372" s="66">
        <v>3651</v>
      </c>
      <c r="O372" s="66">
        <v>44319</v>
      </c>
      <c r="P372" s="66">
        <v>174670</v>
      </c>
      <c r="Q372" s="67">
        <v>0.4</v>
      </c>
      <c r="R372" s="66">
        <v>69868</v>
      </c>
      <c r="S372" s="66">
        <v>244538</v>
      </c>
      <c r="T372" s="106">
        <f>IF(A372="Upgrade",IF(OR(H372=4,H372=5),_xlfn.XLOOKUP(I372,'Renewal Rates'!$A$22:$A$27,'Renewal Rates'!$B$22:$B$27,'Renewal Rates'!$B$27,0),'Renewal Rates'!$F$7),IF(A372="Renewal",100%,0%))</f>
        <v>2.6599999999999999E-2</v>
      </c>
      <c r="U372" s="68">
        <f t="shared" si="5"/>
        <v>6504.7107999999998</v>
      </c>
    </row>
    <row r="373" spans="1:21" s="41" customFormat="1" ht="13.8" x14ac:dyDescent="0.3">
      <c r="A373" s="115" t="s">
        <v>21</v>
      </c>
      <c r="B373" s="116">
        <v>2000922511</v>
      </c>
      <c r="C373" s="116">
        <v>11.010999999999999</v>
      </c>
      <c r="D373" s="117">
        <v>87.1</v>
      </c>
      <c r="E373" s="117"/>
      <c r="F373" s="117">
        <v>225</v>
      </c>
      <c r="G373" s="117">
        <v>675</v>
      </c>
      <c r="H373" s="123"/>
      <c r="I373" s="117" t="s">
        <v>122</v>
      </c>
      <c r="J373" s="115">
        <v>377</v>
      </c>
      <c r="K373" s="115" t="s">
        <v>23</v>
      </c>
      <c r="L373" s="117" t="s">
        <v>24</v>
      </c>
      <c r="M373" s="66">
        <v>334638</v>
      </c>
      <c r="N373" s="66">
        <v>3844</v>
      </c>
      <c r="O373" s="66">
        <v>113777</v>
      </c>
      <c r="P373" s="66">
        <v>448415</v>
      </c>
      <c r="Q373" s="67">
        <v>0.4</v>
      </c>
      <c r="R373" s="66">
        <v>179366</v>
      </c>
      <c r="S373" s="66">
        <v>627780</v>
      </c>
      <c r="T373" s="106">
        <f>IF(A373="Upgrade",IF(OR(H373=4,H373=5),_xlfn.XLOOKUP(I373,'Renewal Rates'!$A$22:$A$27,'Renewal Rates'!$B$22:$B$27,'Renewal Rates'!$B$27,0),'Renewal Rates'!$F$7),IF(A373="Renewal",100%,0%))</f>
        <v>2.6599999999999999E-2</v>
      </c>
      <c r="U373" s="68">
        <f t="shared" si="5"/>
        <v>16698.948</v>
      </c>
    </row>
    <row r="374" spans="1:21" s="41" customFormat="1" ht="13.8" x14ac:dyDescent="0.3">
      <c r="A374" s="115" t="s">
        <v>25</v>
      </c>
      <c r="B374" s="116" t="s">
        <v>22</v>
      </c>
      <c r="C374" s="116">
        <v>11.003</v>
      </c>
      <c r="D374" s="117"/>
      <c r="E374" s="117">
        <v>92.8</v>
      </c>
      <c r="F374" s="117"/>
      <c r="G374" s="117">
        <v>525</v>
      </c>
      <c r="H374" s="123"/>
      <c r="I374" s="117" t="s">
        <v>122</v>
      </c>
      <c r="J374" s="115">
        <v>377</v>
      </c>
      <c r="K374" s="115" t="s">
        <v>23</v>
      </c>
      <c r="L374" s="117" t="s">
        <v>24</v>
      </c>
      <c r="M374" s="66">
        <v>279844</v>
      </c>
      <c r="N374" s="66">
        <v>3017</v>
      </c>
      <c r="O374" s="66">
        <v>95147</v>
      </c>
      <c r="P374" s="66">
        <v>374990</v>
      </c>
      <c r="Q374" s="67">
        <v>0.4</v>
      </c>
      <c r="R374" s="66">
        <v>149996</v>
      </c>
      <c r="S374" s="66">
        <v>524987</v>
      </c>
      <c r="T374" s="106">
        <f>IF(A374="Upgrade",IF(OR(H374=4,H374=5),_xlfn.XLOOKUP(I374,'Renewal Rates'!$A$22:$A$27,'Renewal Rates'!$B$22:$B$27,'Renewal Rates'!$B$27,0),'Renewal Rates'!$F$7),IF(A374="Renewal",100%,0%))</f>
        <v>0</v>
      </c>
      <c r="U374" s="68">
        <f t="shared" si="5"/>
        <v>0</v>
      </c>
    </row>
    <row r="375" spans="1:21" s="41" customFormat="1" ht="13.8" x14ac:dyDescent="0.3">
      <c r="A375" s="115" t="s">
        <v>21</v>
      </c>
      <c r="B375" s="116">
        <v>2000777385</v>
      </c>
      <c r="C375" s="116">
        <v>11.037000000000001</v>
      </c>
      <c r="D375" s="117">
        <v>51</v>
      </c>
      <c r="E375" s="117"/>
      <c r="F375" s="117">
        <v>375</v>
      </c>
      <c r="G375" s="117">
        <v>450</v>
      </c>
      <c r="H375" s="123"/>
      <c r="I375" s="117" t="s">
        <v>122</v>
      </c>
      <c r="J375" s="115">
        <v>377</v>
      </c>
      <c r="K375" s="115" t="s">
        <v>23</v>
      </c>
      <c r="L375" s="117" t="s">
        <v>24</v>
      </c>
      <c r="M375" s="66">
        <v>174798</v>
      </c>
      <c r="N375" s="66">
        <v>3425</v>
      </c>
      <c r="O375" s="66">
        <v>59431</v>
      </c>
      <c r="P375" s="66">
        <v>234229</v>
      </c>
      <c r="Q375" s="67">
        <v>0.4</v>
      </c>
      <c r="R375" s="66">
        <v>93692</v>
      </c>
      <c r="S375" s="66">
        <v>327920</v>
      </c>
      <c r="T375" s="106">
        <f>IF(A375="Upgrade",IF(OR(H375=4,H375=5),_xlfn.XLOOKUP(I375,'Renewal Rates'!$A$22:$A$27,'Renewal Rates'!$B$22:$B$27,'Renewal Rates'!$B$27,0),'Renewal Rates'!$F$7),IF(A375="Renewal",100%,0%))</f>
        <v>2.6599999999999999E-2</v>
      </c>
      <c r="U375" s="68">
        <f t="shared" si="5"/>
        <v>8722.6719999999987</v>
      </c>
    </row>
    <row r="376" spans="1:21" s="41" customFormat="1" ht="13.8" x14ac:dyDescent="0.3">
      <c r="A376" s="115" t="s">
        <v>21</v>
      </c>
      <c r="B376" s="116">
        <v>2000291419</v>
      </c>
      <c r="C376" s="116">
        <v>11.036</v>
      </c>
      <c r="D376" s="117">
        <v>43</v>
      </c>
      <c r="E376" s="117"/>
      <c r="F376" s="117">
        <v>300</v>
      </c>
      <c r="G376" s="117">
        <v>300</v>
      </c>
      <c r="H376" s="123">
        <v>4</v>
      </c>
      <c r="I376" s="117">
        <v>1</v>
      </c>
      <c r="J376" s="115">
        <v>377</v>
      </c>
      <c r="K376" s="115" t="s">
        <v>23</v>
      </c>
      <c r="L376" s="117" t="s">
        <v>24</v>
      </c>
      <c r="M376" s="66">
        <v>88321</v>
      </c>
      <c r="N376" s="66">
        <v>2055</v>
      </c>
      <c r="O376" s="66">
        <v>30029</v>
      </c>
      <c r="P376" s="66">
        <v>118350</v>
      </c>
      <c r="Q376" s="67">
        <v>0.4</v>
      </c>
      <c r="R376" s="66">
        <v>47340</v>
      </c>
      <c r="S376" s="66">
        <v>165690</v>
      </c>
      <c r="T376" s="106">
        <f>IF(A376="Upgrade",IF(OR(H376=4,H376=5),_xlfn.XLOOKUP(I376,'Renewal Rates'!$A$22:$A$27,'Renewal Rates'!$B$22:$B$27,'Renewal Rates'!$B$27,0),'Renewal Rates'!$F$7),IF(A376="Renewal",100%,0%))</f>
        <v>0</v>
      </c>
      <c r="U376" s="68">
        <f t="shared" si="5"/>
        <v>0</v>
      </c>
    </row>
    <row r="377" spans="1:21" s="41" customFormat="1" ht="13.8" x14ac:dyDescent="0.3">
      <c r="A377" s="115" t="s">
        <v>21</v>
      </c>
      <c r="B377" s="116">
        <v>2000103344</v>
      </c>
      <c r="C377" s="116">
        <v>11.035</v>
      </c>
      <c r="D377" s="117">
        <v>30.9</v>
      </c>
      <c r="E377" s="117"/>
      <c r="F377" s="117">
        <v>225</v>
      </c>
      <c r="G377" s="117">
        <v>300</v>
      </c>
      <c r="H377" s="123"/>
      <c r="I377" s="117" t="s">
        <v>122</v>
      </c>
      <c r="J377" s="115">
        <v>377</v>
      </c>
      <c r="K377" s="115" t="s">
        <v>23</v>
      </c>
      <c r="L377" s="117" t="s">
        <v>24</v>
      </c>
      <c r="M377" s="66">
        <v>67358</v>
      </c>
      <c r="N377" s="66">
        <v>2180</v>
      </c>
      <c r="O377" s="66">
        <v>22902</v>
      </c>
      <c r="P377" s="66">
        <v>90260</v>
      </c>
      <c r="Q377" s="67">
        <v>0.4</v>
      </c>
      <c r="R377" s="66">
        <v>36104</v>
      </c>
      <c r="S377" s="66">
        <v>126363</v>
      </c>
      <c r="T377" s="106">
        <f>IF(A377="Upgrade",IF(OR(H377=4,H377=5),_xlfn.XLOOKUP(I377,'Renewal Rates'!$A$22:$A$27,'Renewal Rates'!$B$22:$B$27,'Renewal Rates'!$B$27,0),'Renewal Rates'!$F$7),IF(A377="Renewal",100%,0%))</f>
        <v>2.6599999999999999E-2</v>
      </c>
      <c r="U377" s="68">
        <f t="shared" si="5"/>
        <v>3361.2557999999999</v>
      </c>
    </row>
    <row r="378" spans="1:21" s="41" customFormat="1" ht="13.8" x14ac:dyDescent="0.3">
      <c r="A378" s="115" t="s">
        <v>21</v>
      </c>
      <c r="B378" s="116">
        <v>2000888800</v>
      </c>
      <c r="C378" s="116">
        <v>11.035</v>
      </c>
      <c r="D378" s="117">
        <v>22.9</v>
      </c>
      <c r="E378" s="117"/>
      <c r="F378" s="117">
        <v>300</v>
      </c>
      <c r="G378" s="117">
        <v>300</v>
      </c>
      <c r="H378" s="123"/>
      <c r="I378" s="117" t="s">
        <v>122</v>
      </c>
      <c r="J378" s="115">
        <v>377</v>
      </c>
      <c r="K378" s="115" t="s">
        <v>23</v>
      </c>
      <c r="L378" s="117" t="s">
        <v>24</v>
      </c>
      <c r="M378" s="66">
        <v>50917</v>
      </c>
      <c r="N378" s="66">
        <v>2228</v>
      </c>
      <c r="O378" s="66">
        <v>17312</v>
      </c>
      <c r="P378" s="66">
        <v>68229</v>
      </c>
      <c r="Q378" s="67">
        <v>0.4</v>
      </c>
      <c r="R378" s="66">
        <v>27292</v>
      </c>
      <c r="S378" s="66">
        <v>95521</v>
      </c>
      <c r="T378" s="106">
        <f>IF(A378="Upgrade",IF(OR(H378=4,H378=5),_xlfn.XLOOKUP(I378,'Renewal Rates'!$A$22:$A$27,'Renewal Rates'!$B$22:$B$27,'Renewal Rates'!$B$27,0),'Renewal Rates'!$F$7),IF(A378="Renewal",100%,0%))</f>
        <v>2.6599999999999999E-2</v>
      </c>
      <c r="U378" s="68">
        <f t="shared" si="5"/>
        <v>2540.8586</v>
      </c>
    </row>
    <row r="379" spans="1:21" s="41" customFormat="1" ht="13.8" x14ac:dyDescent="0.3">
      <c r="A379" s="115" t="s">
        <v>21</v>
      </c>
      <c r="B379" s="116">
        <v>2000268562</v>
      </c>
      <c r="C379" s="116">
        <v>11.028</v>
      </c>
      <c r="D379" s="117">
        <v>79.2</v>
      </c>
      <c r="E379" s="117"/>
      <c r="F379" s="117">
        <v>300</v>
      </c>
      <c r="G379" s="117">
        <v>600</v>
      </c>
      <c r="H379" s="123"/>
      <c r="I379" s="117" t="s">
        <v>122</v>
      </c>
      <c r="J379" s="115">
        <v>377</v>
      </c>
      <c r="K379" s="115" t="s">
        <v>23</v>
      </c>
      <c r="L379" s="117" t="s">
        <v>24</v>
      </c>
      <c r="M379" s="66">
        <v>276741</v>
      </c>
      <c r="N379" s="66">
        <v>3496</v>
      </c>
      <c r="O379" s="66">
        <v>94092</v>
      </c>
      <c r="P379" s="66">
        <v>370833</v>
      </c>
      <c r="Q379" s="67">
        <v>0.4</v>
      </c>
      <c r="R379" s="66">
        <v>148333</v>
      </c>
      <c r="S379" s="66">
        <v>519166</v>
      </c>
      <c r="T379" s="106">
        <f>IF(A379="Upgrade",IF(OR(H379=4,H379=5),_xlfn.XLOOKUP(I379,'Renewal Rates'!$A$22:$A$27,'Renewal Rates'!$B$22:$B$27,'Renewal Rates'!$B$27,0),'Renewal Rates'!$F$7),IF(A379="Renewal",100%,0%))</f>
        <v>2.6599999999999999E-2</v>
      </c>
      <c r="U379" s="68">
        <f t="shared" si="5"/>
        <v>13809.8156</v>
      </c>
    </row>
    <row r="380" spans="1:21" s="41" customFormat="1" ht="13.8" x14ac:dyDescent="0.3">
      <c r="A380" s="115" t="s">
        <v>21</v>
      </c>
      <c r="B380" s="116">
        <v>2000125336</v>
      </c>
      <c r="C380" s="116">
        <v>11.032999999999999</v>
      </c>
      <c r="D380" s="117">
        <v>42.3</v>
      </c>
      <c r="E380" s="117"/>
      <c r="F380" s="117">
        <v>300</v>
      </c>
      <c r="G380" s="117">
        <v>450</v>
      </c>
      <c r="H380" s="123">
        <v>4</v>
      </c>
      <c r="I380" s="117">
        <v>1</v>
      </c>
      <c r="J380" s="115">
        <v>377</v>
      </c>
      <c r="K380" s="115" t="s">
        <v>23</v>
      </c>
      <c r="L380" s="117" t="s">
        <v>24</v>
      </c>
      <c r="M380" s="66">
        <v>129802</v>
      </c>
      <c r="N380" s="66">
        <v>3068</v>
      </c>
      <c r="O380" s="66">
        <v>44133</v>
      </c>
      <c r="P380" s="66">
        <v>173935</v>
      </c>
      <c r="Q380" s="67">
        <v>0.4</v>
      </c>
      <c r="R380" s="66">
        <v>69574</v>
      </c>
      <c r="S380" s="66">
        <v>243508</v>
      </c>
      <c r="T380" s="106">
        <f>IF(A380="Upgrade",IF(OR(H380=4,H380=5),_xlfn.XLOOKUP(I380,'Renewal Rates'!$A$22:$A$27,'Renewal Rates'!$B$22:$B$27,'Renewal Rates'!$B$27,0),'Renewal Rates'!$F$7),IF(A380="Renewal",100%,0%))</f>
        <v>0</v>
      </c>
      <c r="U380" s="68">
        <f t="shared" si="5"/>
        <v>0</v>
      </c>
    </row>
    <row r="381" spans="1:21" s="41" customFormat="1" ht="13.8" x14ac:dyDescent="0.3">
      <c r="A381" s="115" t="s">
        <v>21</v>
      </c>
      <c r="B381" s="116">
        <v>2000472711</v>
      </c>
      <c r="C381" s="116">
        <v>11.032999999999999</v>
      </c>
      <c r="D381" s="117">
        <v>33.5</v>
      </c>
      <c r="E381" s="117"/>
      <c r="F381" s="117">
        <v>375</v>
      </c>
      <c r="G381" s="117">
        <v>450</v>
      </c>
      <c r="H381" s="123"/>
      <c r="I381" s="117" t="s">
        <v>122</v>
      </c>
      <c r="J381" s="115">
        <v>377</v>
      </c>
      <c r="K381" s="115" t="s">
        <v>23</v>
      </c>
      <c r="L381" s="117" t="s">
        <v>24</v>
      </c>
      <c r="M381" s="66">
        <v>107141</v>
      </c>
      <c r="N381" s="66">
        <v>3199</v>
      </c>
      <c r="O381" s="66">
        <v>36428</v>
      </c>
      <c r="P381" s="66">
        <v>143569</v>
      </c>
      <c r="Q381" s="67">
        <v>0.4</v>
      </c>
      <c r="R381" s="66">
        <v>57428</v>
      </c>
      <c r="S381" s="66">
        <v>200996</v>
      </c>
      <c r="T381" s="106">
        <f>IF(A381="Upgrade",IF(OR(H381=4,H381=5),_xlfn.XLOOKUP(I381,'Renewal Rates'!$A$22:$A$27,'Renewal Rates'!$B$22:$B$27,'Renewal Rates'!$B$27,0),'Renewal Rates'!$F$7),IF(A381="Renewal",100%,0%))</f>
        <v>2.6599999999999999E-2</v>
      </c>
      <c r="U381" s="68">
        <f t="shared" si="5"/>
        <v>5346.4935999999998</v>
      </c>
    </row>
    <row r="382" spans="1:21" s="41" customFormat="1" ht="13.8" x14ac:dyDescent="0.3">
      <c r="A382" s="115" t="s">
        <v>21</v>
      </c>
      <c r="B382" s="116">
        <v>2000165689</v>
      </c>
      <c r="C382" s="116">
        <v>11.032</v>
      </c>
      <c r="D382" s="117">
        <v>23.8</v>
      </c>
      <c r="E382" s="117"/>
      <c r="F382" s="117">
        <v>525</v>
      </c>
      <c r="G382" s="117">
        <v>375</v>
      </c>
      <c r="H382" s="123">
        <v>5</v>
      </c>
      <c r="I382" s="117">
        <v>1</v>
      </c>
      <c r="J382" s="115">
        <v>377</v>
      </c>
      <c r="K382" s="115" t="s">
        <v>23</v>
      </c>
      <c r="L382" s="117" t="s">
        <v>24</v>
      </c>
      <c r="M382" s="66">
        <v>67828</v>
      </c>
      <c r="N382" s="66">
        <v>2855</v>
      </c>
      <c r="O382" s="66">
        <v>23061</v>
      </c>
      <c r="P382" s="66">
        <v>90889</v>
      </c>
      <c r="Q382" s="67">
        <v>0.4</v>
      </c>
      <c r="R382" s="66">
        <v>36356</v>
      </c>
      <c r="S382" s="66">
        <v>127245</v>
      </c>
      <c r="T382" s="106">
        <f>IF(A382="Upgrade",IF(OR(H382=4,H382=5),_xlfn.XLOOKUP(I382,'Renewal Rates'!$A$22:$A$27,'Renewal Rates'!$B$22:$B$27,'Renewal Rates'!$B$27,0),'Renewal Rates'!$F$7),IF(A382="Renewal",100%,0%))</f>
        <v>0</v>
      </c>
      <c r="U382" s="68">
        <f t="shared" si="5"/>
        <v>0</v>
      </c>
    </row>
    <row r="383" spans="1:21" s="41" customFormat="1" ht="13.8" x14ac:dyDescent="0.3">
      <c r="A383" s="115" t="s">
        <v>21</v>
      </c>
      <c r="B383" s="116">
        <v>2000569940</v>
      </c>
      <c r="C383" s="116">
        <v>11.032</v>
      </c>
      <c r="D383" s="117">
        <v>13.4</v>
      </c>
      <c r="E383" s="117"/>
      <c r="F383" s="117">
        <v>300</v>
      </c>
      <c r="G383" s="117">
        <v>375</v>
      </c>
      <c r="H383" s="123"/>
      <c r="I383" s="117" t="s">
        <v>122</v>
      </c>
      <c r="J383" s="115">
        <v>377</v>
      </c>
      <c r="K383" s="115" t="s">
        <v>23</v>
      </c>
      <c r="L383" s="117" t="s">
        <v>24</v>
      </c>
      <c r="M383" s="66">
        <v>45929</v>
      </c>
      <c r="N383" s="66">
        <v>3417</v>
      </c>
      <c r="O383" s="66">
        <v>15616</v>
      </c>
      <c r="P383" s="66">
        <v>61545</v>
      </c>
      <c r="Q383" s="67">
        <v>0.4</v>
      </c>
      <c r="R383" s="66">
        <v>24618</v>
      </c>
      <c r="S383" s="66">
        <v>86163</v>
      </c>
      <c r="T383" s="106">
        <f>IF(A383="Upgrade",IF(OR(H383=4,H383=5),_xlfn.XLOOKUP(I383,'Renewal Rates'!$A$22:$A$27,'Renewal Rates'!$B$22:$B$27,'Renewal Rates'!$B$27,0),'Renewal Rates'!$F$7),IF(A383="Renewal",100%,0%))</f>
        <v>2.6599999999999999E-2</v>
      </c>
      <c r="U383" s="68">
        <f t="shared" si="5"/>
        <v>2291.9357999999997</v>
      </c>
    </row>
    <row r="384" spans="1:21" s="41" customFormat="1" ht="13.8" x14ac:dyDescent="0.3">
      <c r="A384" s="115" t="s">
        <v>21</v>
      </c>
      <c r="B384" s="116">
        <v>2000134129</v>
      </c>
      <c r="C384" s="116">
        <v>11.032</v>
      </c>
      <c r="D384" s="117">
        <v>18.5</v>
      </c>
      <c r="E384" s="117"/>
      <c r="F384" s="117">
        <v>300</v>
      </c>
      <c r="G384" s="117">
        <v>375</v>
      </c>
      <c r="H384" s="123"/>
      <c r="I384" s="117" t="s">
        <v>122</v>
      </c>
      <c r="J384" s="115">
        <v>377</v>
      </c>
      <c r="K384" s="115" t="s">
        <v>23</v>
      </c>
      <c r="L384" s="117" t="s">
        <v>24</v>
      </c>
      <c r="M384" s="66">
        <v>64900</v>
      </c>
      <c r="N384" s="66">
        <v>3514</v>
      </c>
      <c r="O384" s="66">
        <v>22066</v>
      </c>
      <c r="P384" s="66">
        <v>86966</v>
      </c>
      <c r="Q384" s="67">
        <v>0.4</v>
      </c>
      <c r="R384" s="66">
        <v>34786</v>
      </c>
      <c r="S384" s="66">
        <v>121752</v>
      </c>
      <c r="T384" s="106">
        <f>IF(A384="Upgrade",IF(OR(H384=4,H384=5),_xlfn.XLOOKUP(I384,'Renewal Rates'!$A$22:$A$27,'Renewal Rates'!$B$22:$B$27,'Renewal Rates'!$B$27,0),'Renewal Rates'!$F$7),IF(A384="Renewal",100%,0%))</f>
        <v>2.6599999999999999E-2</v>
      </c>
      <c r="U384" s="68">
        <f t="shared" si="5"/>
        <v>3238.6032</v>
      </c>
    </row>
    <row r="385" spans="1:21" s="41" customFormat="1" ht="13.8" x14ac:dyDescent="0.3">
      <c r="A385" s="115" t="s">
        <v>25</v>
      </c>
      <c r="B385" s="116" t="s">
        <v>22</v>
      </c>
      <c r="C385" s="116">
        <v>12.000999999999999</v>
      </c>
      <c r="D385" s="117"/>
      <c r="E385" s="117">
        <v>111.9</v>
      </c>
      <c r="F385" s="117"/>
      <c r="G385" s="117">
        <v>600</v>
      </c>
      <c r="H385" s="123"/>
      <c r="I385" s="117" t="s">
        <v>122</v>
      </c>
      <c r="J385" s="115">
        <v>385</v>
      </c>
      <c r="K385" s="115" t="s">
        <v>23</v>
      </c>
      <c r="L385" s="117" t="s">
        <v>24</v>
      </c>
      <c r="M385" s="66">
        <v>387355</v>
      </c>
      <c r="N385" s="66">
        <v>3461</v>
      </c>
      <c r="O385" s="66">
        <v>131701</v>
      </c>
      <c r="P385" s="66">
        <v>519055</v>
      </c>
      <c r="Q385" s="67">
        <v>0.4</v>
      </c>
      <c r="R385" s="66">
        <v>207622</v>
      </c>
      <c r="S385" s="66">
        <v>726677</v>
      </c>
      <c r="T385" s="106">
        <f>IF(A385="Upgrade",IF(OR(H385=4,H385=5),_xlfn.XLOOKUP(I385,'Renewal Rates'!$A$22:$A$27,'Renewal Rates'!$B$22:$B$27,'Renewal Rates'!$B$27,0),'Renewal Rates'!$F$7),IF(A385="Renewal",100%,0%))</f>
        <v>0</v>
      </c>
      <c r="U385" s="68">
        <f t="shared" si="5"/>
        <v>0</v>
      </c>
    </row>
    <row r="386" spans="1:21" s="41" customFormat="1" ht="13.8" x14ac:dyDescent="0.3">
      <c r="A386" s="115" t="s">
        <v>21</v>
      </c>
      <c r="B386" s="116">
        <v>2000488560</v>
      </c>
      <c r="C386" s="116">
        <v>12.018000000000001</v>
      </c>
      <c r="D386" s="117">
        <v>13.7</v>
      </c>
      <c r="E386" s="117"/>
      <c r="F386" s="117">
        <v>450</v>
      </c>
      <c r="G386" s="117">
        <v>600</v>
      </c>
      <c r="H386" s="123"/>
      <c r="I386" s="117" t="s">
        <v>122</v>
      </c>
      <c r="J386" s="115">
        <v>377</v>
      </c>
      <c r="K386" s="115" t="s">
        <v>23</v>
      </c>
      <c r="L386" s="117" t="s">
        <v>24</v>
      </c>
      <c r="M386" s="66">
        <v>77031</v>
      </c>
      <c r="N386" s="66">
        <v>5636</v>
      </c>
      <c r="O386" s="66">
        <v>26191</v>
      </c>
      <c r="P386" s="66">
        <v>103222</v>
      </c>
      <c r="Q386" s="67">
        <v>0.4</v>
      </c>
      <c r="R386" s="66">
        <v>41289</v>
      </c>
      <c r="S386" s="66">
        <v>144510</v>
      </c>
      <c r="T386" s="106">
        <f>IF(A386="Upgrade",IF(OR(H386=4,H386=5),_xlfn.XLOOKUP(I386,'Renewal Rates'!$A$22:$A$27,'Renewal Rates'!$B$22:$B$27,'Renewal Rates'!$B$27,0),'Renewal Rates'!$F$7),IF(A386="Renewal",100%,0%))</f>
        <v>2.6599999999999999E-2</v>
      </c>
      <c r="U386" s="68">
        <f t="shared" si="5"/>
        <v>3843.9659999999999</v>
      </c>
    </row>
    <row r="387" spans="1:21" s="41" customFormat="1" ht="13.8" x14ac:dyDescent="0.3">
      <c r="A387" s="115" t="s">
        <v>21</v>
      </c>
      <c r="B387" s="116">
        <v>2000684720</v>
      </c>
      <c r="C387" s="116">
        <v>12.018000000000001</v>
      </c>
      <c r="D387" s="117">
        <v>42.6</v>
      </c>
      <c r="E387" s="117"/>
      <c r="F387" s="117">
        <v>450</v>
      </c>
      <c r="G387" s="117">
        <v>600</v>
      </c>
      <c r="H387" s="123"/>
      <c r="I387" s="117" t="s">
        <v>122</v>
      </c>
      <c r="J387" s="115">
        <v>377</v>
      </c>
      <c r="K387" s="115" t="s">
        <v>23</v>
      </c>
      <c r="L387" s="117" t="s">
        <v>24</v>
      </c>
      <c r="M387" s="66">
        <v>162242</v>
      </c>
      <c r="N387" s="66">
        <v>3806</v>
      </c>
      <c r="O387" s="66">
        <v>55162</v>
      </c>
      <c r="P387" s="66">
        <v>217404</v>
      </c>
      <c r="Q387" s="67">
        <v>0.4</v>
      </c>
      <c r="R387" s="66">
        <v>86961</v>
      </c>
      <c r="S387" s="66">
        <v>304365</v>
      </c>
      <c r="T387" s="106">
        <f>IF(A387="Upgrade",IF(OR(H387=4,H387=5),_xlfn.XLOOKUP(I387,'Renewal Rates'!$A$22:$A$27,'Renewal Rates'!$B$22:$B$27,'Renewal Rates'!$B$27,0),'Renewal Rates'!$F$7),IF(A387="Renewal",100%,0%))</f>
        <v>2.6599999999999999E-2</v>
      </c>
      <c r="U387" s="68">
        <f t="shared" si="5"/>
        <v>8096.1089999999995</v>
      </c>
    </row>
    <row r="388" spans="1:21" s="41" customFormat="1" ht="13.8" x14ac:dyDescent="0.3">
      <c r="A388" s="115" t="s">
        <v>21</v>
      </c>
      <c r="B388" s="116">
        <v>2000759958</v>
      </c>
      <c r="C388" s="116">
        <v>12.018000000000001</v>
      </c>
      <c r="D388" s="117">
        <v>19</v>
      </c>
      <c r="E388" s="117"/>
      <c r="F388" s="117">
        <v>525</v>
      </c>
      <c r="G388" s="117">
        <v>600</v>
      </c>
      <c r="H388" s="123"/>
      <c r="I388" s="117" t="s">
        <v>122</v>
      </c>
      <c r="J388" s="115">
        <v>377</v>
      </c>
      <c r="K388" s="115" t="s">
        <v>23</v>
      </c>
      <c r="L388" s="117" t="s">
        <v>24</v>
      </c>
      <c r="M388" s="66">
        <v>82585</v>
      </c>
      <c r="N388" s="66">
        <v>4338</v>
      </c>
      <c r="O388" s="66">
        <v>28079</v>
      </c>
      <c r="P388" s="66">
        <v>110664</v>
      </c>
      <c r="Q388" s="67">
        <v>0.4</v>
      </c>
      <c r="R388" s="66">
        <v>44265</v>
      </c>
      <c r="S388" s="66">
        <v>154929</v>
      </c>
      <c r="T388" s="106">
        <f>IF(A388="Upgrade",IF(OR(H388=4,H388=5),_xlfn.XLOOKUP(I388,'Renewal Rates'!$A$22:$A$27,'Renewal Rates'!$B$22:$B$27,'Renewal Rates'!$B$27,0),'Renewal Rates'!$F$7),IF(A388="Renewal",100%,0%))</f>
        <v>2.6599999999999999E-2</v>
      </c>
      <c r="U388" s="68">
        <f t="shared" ref="U388:U451" si="6">S388*T388</f>
        <v>4121.1113999999998</v>
      </c>
    </row>
    <row r="389" spans="1:21" s="41" customFormat="1" ht="13.8" x14ac:dyDescent="0.3">
      <c r="A389" s="115" t="s">
        <v>21</v>
      </c>
      <c r="B389" s="116">
        <v>2000506464</v>
      </c>
      <c r="C389" s="116">
        <v>12.016999999999999</v>
      </c>
      <c r="D389" s="117">
        <v>28</v>
      </c>
      <c r="E389" s="117"/>
      <c r="F389" s="117">
        <v>225</v>
      </c>
      <c r="G389" s="117">
        <v>375</v>
      </c>
      <c r="H389" s="123"/>
      <c r="I389" s="117" t="s">
        <v>122</v>
      </c>
      <c r="J389" s="115">
        <v>377</v>
      </c>
      <c r="K389" s="115" t="s">
        <v>23</v>
      </c>
      <c r="L389" s="117" t="s">
        <v>24</v>
      </c>
      <c r="M389" s="66">
        <v>70176</v>
      </c>
      <c r="N389" s="66">
        <v>2506</v>
      </c>
      <c r="O389" s="66">
        <v>23860</v>
      </c>
      <c r="P389" s="66">
        <v>94036</v>
      </c>
      <c r="Q389" s="67">
        <v>0.4</v>
      </c>
      <c r="R389" s="66">
        <v>37614</v>
      </c>
      <c r="S389" s="66">
        <v>131650</v>
      </c>
      <c r="T389" s="106">
        <f>IF(A389="Upgrade",IF(OR(H389=4,H389=5),_xlfn.XLOOKUP(I389,'Renewal Rates'!$A$22:$A$27,'Renewal Rates'!$B$22:$B$27,'Renewal Rates'!$B$27,0),'Renewal Rates'!$F$7),IF(A389="Renewal",100%,0%))</f>
        <v>2.6599999999999999E-2</v>
      </c>
      <c r="U389" s="68">
        <f t="shared" si="6"/>
        <v>3501.89</v>
      </c>
    </row>
    <row r="390" spans="1:21" s="41" customFormat="1" ht="13.8" x14ac:dyDescent="0.3">
      <c r="A390" s="115" t="s">
        <v>21</v>
      </c>
      <c r="B390" s="116">
        <v>2000251726</v>
      </c>
      <c r="C390" s="116">
        <v>12.016</v>
      </c>
      <c r="D390" s="117">
        <v>45.9</v>
      </c>
      <c r="E390" s="117"/>
      <c r="F390" s="117">
        <v>375</v>
      </c>
      <c r="G390" s="117">
        <v>450</v>
      </c>
      <c r="H390" s="123"/>
      <c r="I390" s="117" t="s">
        <v>122</v>
      </c>
      <c r="J390" s="115">
        <v>377</v>
      </c>
      <c r="K390" s="115" t="s">
        <v>23</v>
      </c>
      <c r="L390" s="117" t="s">
        <v>24</v>
      </c>
      <c r="M390" s="66">
        <v>135393</v>
      </c>
      <c r="N390" s="66">
        <v>2952</v>
      </c>
      <c r="O390" s="66">
        <v>46034</v>
      </c>
      <c r="P390" s="66">
        <v>181427</v>
      </c>
      <c r="Q390" s="67">
        <v>0.4</v>
      </c>
      <c r="R390" s="66">
        <v>72571</v>
      </c>
      <c r="S390" s="66">
        <v>253997</v>
      </c>
      <c r="T390" s="106">
        <f>IF(A390="Upgrade",IF(OR(H390=4,H390=5),_xlfn.XLOOKUP(I390,'Renewal Rates'!$A$22:$A$27,'Renewal Rates'!$B$22:$B$27,'Renewal Rates'!$B$27,0),'Renewal Rates'!$F$7),IF(A390="Renewal",100%,0%))</f>
        <v>2.6599999999999999E-2</v>
      </c>
      <c r="U390" s="68">
        <f t="shared" si="6"/>
        <v>6756.3201999999992</v>
      </c>
    </row>
    <row r="391" spans="1:21" s="41" customFormat="1" ht="13.8" x14ac:dyDescent="0.3">
      <c r="A391" s="115" t="s">
        <v>21</v>
      </c>
      <c r="B391" s="116">
        <v>2000565876</v>
      </c>
      <c r="C391" s="116">
        <v>12.013999999999999</v>
      </c>
      <c r="D391" s="117">
        <v>51</v>
      </c>
      <c r="E391" s="117"/>
      <c r="F391" s="117">
        <v>300</v>
      </c>
      <c r="G391" s="117">
        <v>825</v>
      </c>
      <c r="H391" s="123">
        <v>4</v>
      </c>
      <c r="I391" s="117">
        <v>2</v>
      </c>
      <c r="J391" s="115">
        <v>377</v>
      </c>
      <c r="K391" s="115" t="s">
        <v>23</v>
      </c>
      <c r="L391" s="117" t="s">
        <v>24</v>
      </c>
      <c r="M391" s="66">
        <v>248075</v>
      </c>
      <c r="N391" s="66">
        <v>4861</v>
      </c>
      <c r="O391" s="66">
        <v>84346</v>
      </c>
      <c r="P391" s="66">
        <v>332421</v>
      </c>
      <c r="Q391" s="67">
        <v>0.4</v>
      </c>
      <c r="R391" s="66">
        <v>132968</v>
      </c>
      <c r="S391" s="66">
        <v>465389</v>
      </c>
      <c r="T391" s="106">
        <f>IF(A391="Upgrade",IF(OR(H391=4,H391=5),_xlfn.XLOOKUP(I391,'Renewal Rates'!$A$22:$A$27,'Renewal Rates'!$B$22:$B$27,'Renewal Rates'!$B$27,0),'Renewal Rates'!$F$7),IF(A391="Renewal",100%,0%))</f>
        <v>0</v>
      </c>
      <c r="U391" s="68">
        <f t="shared" si="6"/>
        <v>0</v>
      </c>
    </row>
    <row r="392" spans="1:21" s="41" customFormat="1" ht="13.8" x14ac:dyDescent="0.3">
      <c r="A392" s="115" t="s">
        <v>21</v>
      </c>
      <c r="B392" s="116">
        <v>2000021304</v>
      </c>
      <c r="C392" s="116">
        <v>12.013999999999999</v>
      </c>
      <c r="D392" s="117">
        <v>47.6</v>
      </c>
      <c r="E392" s="117"/>
      <c r="F392" s="117">
        <v>225</v>
      </c>
      <c r="G392" s="117">
        <v>825</v>
      </c>
      <c r="H392" s="123"/>
      <c r="I392" s="117" t="s">
        <v>122</v>
      </c>
      <c r="J392" s="115">
        <v>377</v>
      </c>
      <c r="K392" s="115" t="s">
        <v>23</v>
      </c>
      <c r="L392" s="117" t="s">
        <v>24</v>
      </c>
      <c r="M392" s="66">
        <v>218825</v>
      </c>
      <c r="N392" s="66">
        <v>4596</v>
      </c>
      <c r="O392" s="66">
        <v>74401</v>
      </c>
      <c r="P392" s="66">
        <v>293226</v>
      </c>
      <c r="Q392" s="67">
        <v>0.4</v>
      </c>
      <c r="R392" s="66">
        <v>117290</v>
      </c>
      <c r="S392" s="66">
        <v>410516</v>
      </c>
      <c r="T392" s="106">
        <f>IF(A392="Upgrade",IF(OR(H392=4,H392=5),_xlfn.XLOOKUP(I392,'Renewal Rates'!$A$22:$A$27,'Renewal Rates'!$B$22:$B$27,'Renewal Rates'!$B$27,0),'Renewal Rates'!$F$7),IF(A392="Renewal",100%,0%))</f>
        <v>2.6599999999999999E-2</v>
      </c>
      <c r="U392" s="68">
        <f t="shared" si="6"/>
        <v>10919.7256</v>
      </c>
    </row>
    <row r="393" spans="1:21" s="41" customFormat="1" ht="13.8" x14ac:dyDescent="0.3">
      <c r="A393" s="115" t="s">
        <v>21</v>
      </c>
      <c r="B393" s="116">
        <v>2000197771</v>
      </c>
      <c r="C393" s="116">
        <v>15.009</v>
      </c>
      <c r="D393" s="117">
        <v>37.4</v>
      </c>
      <c r="E393" s="117"/>
      <c r="F393" s="117">
        <v>1500</v>
      </c>
      <c r="G393" s="117">
        <v>1650</v>
      </c>
      <c r="H393" s="123">
        <v>4</v>
      </c>
      <c r="I393" s="117">
        <v>2</v>
      </c>
      <c r="J393" s="115">
        <v>377</v>
      </c>
      <c r="K393" s="115" t="s">
        <v>23</v>
      </c>
      <c r="L393" s="117" t="s">
        <v>24</v>
      </c>
      <c r="M393" s="66">
        <v>354904</v>
      </c>
      <c r="N393" s="66">
        <v>9499</v>
      </c>
      <c r="O393" s="66">
        <v>120668</v>
      </c>
      <c r="P393" s="66">
        <v>475572</v>
      </c>
      <c r="Q393" s="67">
        <v>0.4</v>
      </c>
      <c r="R393" s="66">
        <v>190229</v>
      </c>
      <c r="S393" s="66">
        <v>665801</v>
      </c>
      <c r="T393" s="106">
        <f>IF(A393="Upgrade",IF(OR(H393=4,H393=5),_xlfn.XLOOKUP(I393,'Renewal Rates'!$A$22:$A$27,'Renewal Rates'!$B$22:$B$27,'Renewal Rates'!$B$27,0),'Renewal Rates'!$F$7),IF(A393="Renewal",100%,0%))</f>
        <v>0</v>
      </c>
      <c r="U393" s="68">
        <f t="shared" si="6"/>
        <v>0</v>
      </c>
    </row>
    <row r="394" spans="1:21" s="41" customFormat="1" ht="13.8" x14ac:dyDescent="0.3">
      <c r="A394" s="115" t="s">
        <v>21</v>
      </c>
      <c r="B394" s="116">
        <v>2000832027</v>
      </c>
      <c r="C394" s="116">
        <v>15.009</v>
      </c>
      <c r="D394" s="117">
        <v>20</v>
      </c>
      <c r="E394" s="117"/>
      <c r="F394" s="117">
        <v>1200</v>
      </c>
      <c r="G394" s="117">
        <v>1650</v>
      </c>
      <c r="H394" s="123">
        <v>4</v>
      </c>
      <c r="I394" s="117">
        <v>1</v>
      </c>
      <c r="J394" s="115">
        <v>377</v>
      </c>
      <c r="K394" s="115" t="s">
        <v>23</v>
      </c>
      <c r="L394" s="117" t="s">
        <v>24</v>
      </c>
      <c r="M394" s="66">
        <v>205154</v>
      </c>
      <c r="N394" s="66">
        <v>10260</v>
      </c>
      <c r="O394" s="66">
        <v>69752</v>
      </c>
      <c r="P394" s="66">
        <v>274907</v>
      </c>
      <c r="Q394" s="67">
        <v>0.4</v>
      </c>
      <c r="R394" s="66">
        <v>109963</v>
      </c>
      <c r="S394" s="66">
        <v>384869</v>
      </c>
      <c r="T394" s="106">
        <f>IF(A394="Upgrade",IF(OR(H394=4,H394=5),_xlfn.XLOOKUP(I394,'Renewal Rates'!$A$22:$A$27,'Renewal Rates'!$B$22:$B$27,'Renewal Rates'!$B$27,0),'Renewal Rates'!$F$7),IF(A394="Renewal",100%,0%))</f>
        <v>0</v>
      </c>
      <c r="U394" s="68">
        <f t="shared" si="6"/>
        <v>0</v>
      </c>
    </row>
    <row r="395" spans="1:21" s="41" customFormat="1" ht="13.8" x14ac:dyDescent="0.3">
      <c r="A395" s="115" t="s">
        <v>21</v>
      </c>
      <c r="B395" s="116">
        <v>2000421685</v>
      </c>
      <c r="C395" s="116">
        <v>12.007999999999999</v>
      </c>
      <c r="D395" s="117">
        <v>49.1</v>
      </c>
      <c r="E395" s="117"/>
      <c r="F395" s="117">
        <v>1200</v>
      </c>
      <c r="G395" s="117">
        <v>1650</v>
      </c>
      <c r="H395" s="123">
        <v>4</v>
      </c>
      <c r="I395" s="117">
        <v>2</v>
      </c>
      <c r="J395" s="115">
        <v>377</v>
      </c>
      <c r="K395" s="115" t="s">
        <v>23</v>
      </c>
      <c r="L395" s="117" t="s">
        <v>24</v>
      </c>
      <c r="M395" s="66">
        <v>666120</v>
      </c>
      <c r="N395" s="66">
        <v>9489</v>
      </c>
      <c r="O395" s="66">
        <v>226481</v>
      </c>
      <c r="P395" s="66">
        <v>892601</v>
      </c>
      <c r="Q395" s="67">
        <v>0.4</v>
      </c>
      <c r="R395" s="66">
        <v>357041</v>
      </c>
      <c r="S395" s="66">
        <v>1249642</v>
      </c>
      <c r="T395" s="106">
        <f>IF(A395="Upgrade",IF(OR(H395=4,H395=5),_xlfn.XLOOKUP(I395,'Renewal Rates'!$A$22:$A$27,'Renewal Rates'!$B$22:$B$27,'Renewal Rates'!$B$27,0),'Renewal Rates'!$F$7),IF(A395="Renewal",100%,0%))</f>
        <v>0</v>
      </c>
      <c r="U395" s="68">
        <f t="shared" si="6"/>
        <v>0</v>
      </c>
    </row>
    <row r="396" spans="1:21" s="41" customFormat="1" ht="13.8" x14ac:dyDescent="0.3">
      <c r="A396" s="115" t="s">
        <v>21</v>
      </c>
      <c r="B396" s="116">
        <v>2000030578</v>
      </c>
      <c r="C396" s="116">
        <v>12.007</v>
      </c>
      <c r="D396" s="117">
        <v>86</v>
      </c>
      <c r="E396" s="117"/>
      <c r="F396" s="117">
        <v>1200</v>
      </c>
      <c r="G396" s="117">
        <v>1650</v>
      </c>
      <c r="H396" s="123">
        <v>5</v>
      </c>
      <c r="I396" s="117">
        <v>3</v>
      </c>
      <c r="J396" s="115">
        <v>377</v>
      </c>
      <c r="K396" s="115" t="s">
        <v>23</v>
      </c>
      <c r="L396" s="117" t="s">
        <v>24</v>
      </c>
      <c r="M396" s="66">
        <v>810543</v>
      </c>
      <c r="N396" s="66">
        <v>9425</v>
      </c>
      <c r="O396" s="66">
        <v>275585</v>
      </c>
      <c r="P396" s="66">
        <v>1086127</v>
      </c>
      <c r="Q396" s="67">
        <v>0.4</v>
      </c>
      <c r="R396" s="66">
        <v>434451</v>
      </c>
      <c r="S396" s="66">
        <v>1520578</v>
      </c>
      <c r="T396" s="106">
        <f>IF(A396="Upgrade",IF(OR(H396=4,H396=5),_xlfn.XLOOKUP(I396,'Renewal Rates'!$A$22:$A$27,'Renewal Rates'!$B$22:$B$27,'Renewal Rates'!$B$27,0),'Renewal Rates'!$F$7),IF(A396="Renewal",100%,0%))</f>
        <v>0.21</v>
      </c>
      <c r="U396" s="68">
        <f t="shared" si="6"/>
        <v>319321.38</v>
      </c>
    </row>
    <row r="397" spans="1:21" s="41" customFormat="1" ht="13.8" x14ac:dyDescent="0.3">
      <c r="A397" s="115" t="s">
        <v>21</v>
      </c>
      <c r="B397" s="116">
        <v>2000834274</v>
      </c>
      <c r="C397" s="116">
        <v>12.006</v>
      </c>
      <c r="D397" s="117">
        <v>27.7</v>
      </c>
      <c r="E397" s="117"/>
      <c r="F397" s="117">
        <v>750</v>
      </c>
      <c r="G397" s="117">
        <v>1275</v>
      </c>
      <c r="H397" s="123"/>
      <c r="I397" s="117" t="s">
        <v>122</v>
      </c>
      <c r="J397" s="115">
        <v>377</v>
      </c>
      <c r="K397" s="115" t="s">
        <v>23</v>
      </c>
      <c r="L397" s="117" t="s">
        <v>24</v>
      </c>
      <c r="M397" s="66">
        <v>209568</v>
      </c>
      <c r="N397" s="66">
        <v>7576</v>
      </c>
      <c r="O397" s="66">
        <v>71253</v>
      </c>
      <c r="P397" s="66">
        <v>280821</v>
      </c>
      <c r="Q397" s="67">
        <v>0.4</v>
      </c>
      <c r="R397" s="66">
        <v>112328</v>
      </c>
      <c r="S397" s="66">
        <v>393149</v>
      </c>
      <c r="T397" s="106">
        <f>IF(A397="Upgrade",IF(OR(H397=4,H397=5),_xlfn.XLOOKUP(I397,'Renewal Rates'!$A$22:$A$27,'Renewal Rates'!$B$22:$B$27,'Renewal Rates'!$B$27,0),'Renewal Rates'!$F$7),IF(A397="Renewal",100%,0%))</f>
        <v>2.6599999999999999E-2</v>
      </c>
      <c r="U397" s="68">
        <f t="shared" si="6"/>
        <v>10457.7634</v>
      </c>
    </row>
    <row r="398" spans="1:21" s="41" customFormat="1" ht="13.8" x14ac:dyDescent="0.3">
      <c r="A398" s="115" t="s">
        <v>21</v>
      </c>
      <c r="B398" s="116">
        <v>2000126657</v>
      </c>
      <c r="C398" s="116">
        <v>12.006</v>
      </c>
      <c r="D398" s="117">
        <v>41.1</v>
      </c>
      <c r="E398" s="117"/>
      <c r="F398" s="117">
        <v>750</v>
      </c>
      <c r="G398" s="117">
        <v>1275</v>
      </c>
      <c r="H398" s="123"/>
      <c r="I398" s="117" t="s">
        <v>122</v>
      </c>
      <c r="J398" s="115">
        <v>377</v>
      </c>
      <c r="K398" s="115" t="s">
        <v>23</v>
      </c>
      <c r="L398" s="117" t="s">
        <v>24</v>
      </c>
      <c r="M398" s="66">
        <v>288892</v>
      </c>
      <c r="N398" s="66">
        <v>7032</v>
      </c>
      <c r="O398" s="66">
        <v>98223</v>
      </c>
      <c r="P398" s="66">
        <v>387115</v>
      </c>
      <c r="Q398" s="67">
        <v>0.4</v>
      </c>
      <c r="R398" s="66">
        <v>154846</v>
      </c>
      <c r="S398" s="66">
        <v>541961</v>
      </c>
      <c r="T398" s="106">
        <f>IF(A398="Upgrade",IF(OR(H398=4,H398=5),_xlfn.XLOOKUP(I398,'Renewal Rates'!$A$22:$A$27,'Renewal Rates'!$B$22:$B$27,'Renewal Rates'!$B$27,0),'Renewal Rates'!$F$7),IF(A398="Renewal",100%,0%))</f>
        <v>2.6599999999999999E-2</v>
      </c>
      <c r="U398" s="68">
        <f t="shared" si="6"/>
        <v>14416.1626</v>
      </c>
    </row>
    <row r="399" spans="1:21" s="41" customFormat="1" ht="13.8" x14ac:dyDescent="0.3">
      <c r="A399" s="115" t="s">
        <v>21</v>
      </c>
      <c r="B399" s="116">
        <v>2000510612</v>
      </c>
      <c r="C399" s="116">
        <v>12.006</v>
      </c>
      <c r="D399" s="117">
        <v>53.3</v>
      </c>
      <c r="E399" s="117"/>
      <c r="F399" s="117">
        <v>750</v>
      </c>
      <c r="G399" s="117">
        <v>1275</v>
      </c>
      <c r="H399" s="123">
        <v>4</v>
      </c>
      <c r="I399" s="117">
        <v>3</v>
      </c>
      <c r="J399" s="115">
        <v>377</v>
      </c>
      <c r="K399" s="115" t="s">
        <v>23</v>
      </c>
      <c r="L399" s="117" t="s">
        <v>24</v>
      </c>
      <c r="M399" s="66">
        <v>362987</v>
      </c>
      <c r="N399" s="66">
        <v>6812</v>
      </c>
      <c r="O399" s="66">
        <v>123415</v>
      </c>
      <c r="P399" s="66">
        <v>486402</v>
      </c>
      <c r="Q399" s="67">
        <v>0.4</v>
      </c>
      <c r="R399" s="66">
        <v>194561</v>
      </c>
      <c r="S399" s="66">
        <v>680963</v>
      </c>
      <c r="T399" s="106">
        <f>IF(A399="Upgrade",IF(OR(H399=4,H399=5),_xlfn.XLOOKUP(I399,'Renewal Rates'!$A$22:$A$27,'Renewal Rates'!$B$22:$B$27,'Renewal Rates'!$B$27,0),'Renewal Rates'!$F$7),IF(A399="Renewal",100%,0%))</f>
        <v>0.21</v>
      </c>
      <c r="U399" s="68">
        <f t="shared" si="6"/>
        <v>143002.22999999998</v>
      </c>
    </row>
    <row r="400" spans="1:21" s="41" customFormat="1" ht="13.8" x14ac:dyDescent="0.3">
      <c r="A400" s="115" t="s">
        <v>21</v>
      </c>
      <c r="B400" s="116">
        <v>2000757638</v>
      </c>
      <c r="C400" s="116">
        <v>15.004</v>
      </c>
      <c r="D400" s="117">
        <v>45</v>
      </c>
      <c r="E400" s="117"/>
      <c r="F400" s="117">
        <v>1500</v>
      </c>
      <c r="G400" s="117">
        <v>1950</v>
      </c>
      <c r="H400" s="123">
        <v>4</v>
      </c>
      <c r="I400" s="117">
        <v>2</v>
      </c>
      <c r="J400" s="115">
        <v>377</v>
      </c>
      <c r="K400" s="115" t="s">
        <v>23</v>
      </c>
      <c r="L400" s="117" t="s">
        <v>24</v>
      </c>
      <c r="M400" s="66">
        <v>524266</v>
      </c>
      <c r="N400" s="66">
        <v>11660</v>
      </c>
      <c r="O400" s="66">
        <v>178251</v>
      </c>
      <c r="P400" s="66">
        <v>702517</v>
      </c>
      <c r="Q400" s="67">
        <v>0.4</v>
      </c>
      <c r="R400" s="66">
        <v>281007</v>
      </c>
      <c r="S400" s="66">
        <v>983524</v>
      </c>
      <c r="T400" s="106">
        <f>IF(A400="Upgrade",IF(OR(H400=4,H400=5),_xlfn.XLOOKUP(I400,'Renewal Rates'!$A$22:$A$27,'Renewal Rates'!$B$22:$B$27,'Renewal Rates'!$B$27,0),'Renewal Rates'!$F$7),IF(A400="Renewal",100%,0%))</f>
        <v>0</v>
      </c>
      <c r="U400" s="68">
        <f t="shared" si="6"/>
        <v>0</v>
      </c>
    </row>
    <row r="401" spans="1:21" s="41" customFormat="1" ht="13.8" x14ac:dyDescent="0.3">
      <c r="A401" s="115" t="s">
        <v>21</v>
      </c>
      <c r="B401" s="116">
        <v>2000623492</v>
      </c>
      <c r="C401" s="116">
        <v>12.003</v>
      </c>
      <c r="D401" s="117">
        <v>128.19999999999999</v>
      </c>
      <c r="E401" s="117"/>
      <c r="F401" s="117">
        <v>1500</v>
      </c>
      <c r="G401" s="117">
        <v>1950</v>
      </c>
      <c r="H401" s="123">
        <v>5</v>
      </c>
      <c r="I401" s="117">
        <v>2</v>
      </c>
      <c r="J401" s="115">
        <v>377</v>
      </c>
      <c r="K401" s="115" t="s">
        <v>23</v>
      </c>
      <c r="L401" s="117" t="s">
        <v>24</v>
      </c>
      <c r="M401" s="66">
        <v>1465874</v>
      </c>
      <c r="N401" s="66">
        <v>11438</v>
      </c>
      <c r="O401" s="66">
        <v>498397</v>
      </c>
      <c r="P401" s="66">
        <v>1964271</v>
      </c>
      <c r="Q401" s="67">
        <v>0.4</v>
      </c>
      <c r="R401" s="66">
        <v>785709</v>
      </c>
      <c r="S401" s="66">
        <v>2749980</v>
      </c>
      <c r="T401" s="106">
        <f>IF(A401="Upgrade",IF(OR(H401=4,H401=5),_xlfn.XLOOKUP(I401,'Renewal Rates'!$A$22:$A$27,'Renewal Rates'!$B$22:$B$27,'Renewal Rates'!$B$27,0),'Renewal Rates'!$F$7),IF(A401="Renewal",100%,0%))</f>
        <v>0</v>
      </c>
      <c r="U401" s="68">
        <f t="shared" si="6"/>
        <v>0</v>
      </c>
    </row>
    <row r="402" spans="1:21" s="41" customFormat="1" ht="13.8" x14ac:dyDescent="0.3">
      <c r="A402" s="115" t="s">
        <v>21</v>
      </c>
      <c r="B402" s="116">
        <v>2000246846</v>
      </c>
      <c r="C402" s="116">
        <v>12.004</v>
      </c>
      <c r="D402" s="117">
        <v>35.1</v>
      </c>
      <c r="E402" s="117"/>
      <c r="F402" s="117">
        <v>375</v>
      </c>
      <c r="G402" s="117">
        <v>450</v>
      </c>
      <c r="H402" s="123">
        <v>4</v>
      </c>
      <c r="I402" s="117">
        <v>2</v>
      </c>
      <c r="J402" s="115">
        <v>375</v>
      </c>
      <c r="K402" s="115" t="s">
        <v>23</v>
      </c>
      <c r="L402" s="117" t="s">
        <v>24</v>
      </c>
      <c r="M402" s="66">
        <v>108290</v>
      </c>
      <c r="N402" s="66">
        <v>3084</v>
      </c>
      <c r="O402" s="66">
        <v>36819</v>
      </c>
      <c r="P402" s="66">
        <v>145109</v>
      </c>
      <c r="Q402" s="67">
        <v>0.4</v>
      </c>
      <c r="R402" s="66">
        <v>58044</v>
      </c>
      <c r="S402" s="66">
        <v>203153</v>
      </c>
      <c r="T402" s="106">
        <f>IF(A402="Upgrade",IF(OR(H402=4,H402=5),_xlfn.XLOOKUP(I402,'Renewal Rates'!$A$22:$A$27,'Renewal Rates'!$B$22:$B$27,'Renewal Rates'!$B$27,0),'Renewal Rates'!$F$7),IF(A402="Renewal",100%,0%))</f>
        <v>0</v>
      </c>
      <c r="U402" s="68">
        <f t="shared" si="6"/>
        <v>0</v>
      </c>
    </row>
    <row r="403" spans="1:21" s="41" customFormat="1" ht="13.8" x14ac:dyDescent="0.3">
      <c r="A403" s="115" t="s">
        <v>21</v>
      </c>
      <c r="B403" s="116">
        <v>2000413027</v>
      </c>
      <c r="C403" s="116">
        <v>12.013</v>
      </c>
      <c r="D403" s="117">
        <v>27.2</v>
      </c>
      <c r="E403" s="117"/>
      <c r="F403" s="117">
        <v>300</v>
      </c>
      <c r="G403" s="117">
        <v>450</v>
      </c>
      <c r="H403" s="123">
        <v>4</v>
      </c>
      <c r="I403" s="117">
        <v>2</v>
      </c>
      <c r="J403" s="115">
        <v>375</v>
      </c>
      <c r="K403" s="115" t="s">
        <v>23</v>
      </c>
      <c r="L403" s="117" t="s">
        <v>24</v>
      </c>
      <c r="M403" s="66">
        <v>83226</v>
      </c>
      <c r="N403" s="66">
        <v>3058</v>
      </c>
      <c r="O403" s="66">
        <v>28297</v>
      </c>
      <c r="P403" s="66">
        <v>111522</v>
      </c>
      <c r="Q403" s="67">
        <v>0.4</v>
      </c>
      <c r="R403" s="66">
        <v>44609</v>
      </c>
      <c r="S403" s="66">
        <v>156131</v>
      </c>
      <c r="T403" s="106">
        <f>IF(A403="Upgrade",IF(OR(H403=4,H403=5),_xlfn.XLOOKUP(I403,'Renewal Rates'!$A$22:$A$27,'Renewal Rates'!$B$22:$B$27,'Renewal Rates'!$B$27,0),'Renewal Rates'!$F$7),IF(A403="Renewal",100%,0%))</f>
        <v>0</v>
      </c>
      <c r="U403" s="68">
        <f t="shared" si="6"/>
        <v>0</v>
      </c>
    </row>
    <row r="404" spans="1:21" s="41" customFormat="1" ht="13.8" x14ac:dyDescent="0.3">
      <c r="A404" s="115" t="s">
        <v>21</v>
      </c>
      <c r="B404" s="116">
        <v>2000341756</v>
      </c>
      <c r="C404" s="116">
        <v>12.002000000000001</v>
      </c>
      <c r="D404" s="117">
        <v>81.7</v>
      </c>
      <c r="E404" s="117"/>
      <c r="F404" s="117">
        <v>1500</v>
      </c>
      <c r="G404" s="117">
        <v>1950</v>
      </c>
      <c r="H404" s="123">
        <v>5</v>
      </c>
      <c r="I404" s="117">
        <v>1</v>
      </c>
      <c r="J404" s="115">
        <v>377</v>
      </c>
      <c r="K404" s="115" t="s">
        <v>23</v>
      </c>
      <c r="L404" s="117" t="s">
        <v>24</v>
      </c>
      <c r="M404" s="66">
        <v>941082</v>
      </c>
      <c r="N404" s="66">
        <v>11518</v>
      </c>
      <c r="O404" s="66">
        <v>319968</v>
      </c>
      <c r="P404" s="66">
        <v>1261050</v>
      </c>
      <c r="Q404" s="67">
        <v>0.4</v>
      </c>
      <c r="R404" s="66">
        <v>504420</v>
      </c>
      <c r="S404" s="66">
        <v>1765469</v>
      </c>
      <c r="T404" s="106">
        <f>IF(A404="Upgrade",IF(OR(H404=4,H404=5),_xlfn.XLOOKUP(I404,'Renewal Rates'!$A$22:$A$27,'Renewal Rates'!$B$22:$B$27,'Renewal Rates'!$B$27,0),'Renewal Rates'!$F$7),IF(A404="Renewal",100%,0%))</f>
        <v>0</v>
      </c>
      <c r="U404" s="68">
        <f t="shared" si="6"/>
        <v>0</v>
      </c>
    </row>
    <row r="405" spans="1:21" s="41" customFormat="1" ht="13.8" x14ac:dyDescent="0.3">
      <c r="A405" s="115" t="s">
        <v>21</v>
      </c>
      <c r="B405" s="116">
        <v>2000441032</v>
      </c>
      <c r="C405" s="116">
        <v>12.002000000000001</v>
      </c>
      <c r="D405" s="117">
        <v>16.899999999999999</v>
      </c>
      <c r="E405" s="117"/>
      <c r="F405" s="117">
        <v>1500</v>
      </c>
      <c r="G405" s="117">
        <v>1950</v>
      </c>
      <c r="H405" s="123">
        <v>5</v>
      </c>
      <c r="I405" s="117">
        <v>2</v>
      </c>
      <c r="J405" s="115">
        <v>377</v>
      </c>
      <c r="K405" s="115" t="s">
        <v>23</v>
      </c>
      <c r="L405" s="117" t="s">
        <v>24</v>
      </c>
      <c r="M405" s="66">
        <v>204835</v>
      </c>
      <c r="N405" s="66">
        <v>12114</v>
      </c>
      <c r="O405" s="66">
        <v>69644</v>
      </c>
      <c r="P405" s="66">
        <v>274480</v>
      </c>
      <c r="Q405" s="67">
        <v>0.4</v>
      </c>
      <c r="R405" s="66">
        <v>109792</v>
      </c>
      <c r="S405" s="66">
        <v>384271</v>
      </c>
      <c r="T405" s="106">
        <f>IF(A405="Upgrade",IF(OR(H405=4,H405=5),_xlfn.XLOOKUP(I405,'Renewal Rates'!$A$22:$A$27,'Renewal Rates'!$B$22:$B$27,'Renewal Rates'!$B$27,0),'Renewal Rates'!$F$7),IF(A405="Renewal",100%,0%))</f>
        <v>0</v>
      </c>
      <c r="U405" s="68">
        <f t="shared" si="6"/>
        <v>0</v>
      </c>
    </row>
    <row r="406" spans="1:21" s="41" customFormat="1" ht="13.8" x14ac:dyDescent="0.3">
      <c r="A406" s="115" t="s">
        <v>21</v>
      </c>
      <c r="B406" s="116">
        <v>2000377707</v>
      </c>
      <c r="C406" s="116">
        <v>12.002000000000001</v>
      </c>
      <c r="D406" s="117">
        <v>26.6</v>
      </c>
      <c r="E406" s="117"/>
      <c r="F406" s="117">
        <v>1500</v>
      </c>
      <c r="G406" s="117">
        <v>1950</v>
      </c>
      <c r="H406" s="123">
        <v>4</v>
      </c>
      <c r="I406" s="117">
        <v>1</v>
      </c>
      <c r="J406" s="115">
        <v>377</v>
      </c>
      <c r="K406" s="115" t="s">
        <v>23</v>
      </c>
      <c r="L406" s="117" t="s">
        <v>24</v>
      </c>
      <c r="M406" s="66">
        <v>312662</v>
      </c>
      <c r="N406" s="66">
        <v>11759</v>
      </c>
      <c r="O406" s="66">
        <v>106305</v>
      </c>
      <c r="P406" s="66">
        <v>418967</v>
      </c>
      <c r="Q406" s="67">
        <v>0.4</v>
      </c>
      <c r="R406" s="66">
        <v>167587</v>
      </c>
      <c r="S406" s="66">
        <v>586554</v>
      </c>
      <c r="T406" s="106">
        <f>IF(A406="Upgrade",IF(OR(H406=4,H406=5),_xlfn.XLOOKUP(I406,'Renewal Rates'!$A$22:$A$27,'Renewal Rates'!$B$22:$B$27,'Renewal Rates'!$B$27,0),'Renewal Rates'!$F$7),IF(A406="Renewal",100%,0%))</f>
        <v>0</v>
      </c>
      <c r="U406" s="68">
        <f t="shared" si="6"/>
        <v>0</v>
      </c>
    </row>
    <row r="407" spans="1:21" s="41" customFormat="1" ht="13.8" x14ac:dyDescent="0.3">
      <c r="A407" s="115" t="s">
        <v>21</v>
      </c>
      <c r="B407" s="116">
        <v>2000307972</v>
      </c>
      <c r="C407" s="116">
        <v>12.002000000000001</v>
      </c>
      <c r="D407" s="117">
        <v>14.5</v>
      </c>
      <c r="E407" s="117"/>
      <c r="F407" s="117">
        <v>1500</v>
      </c>
      <c r="G407" s="117">
        <v>1950</v>
      </c>
      <c r="H407" s="123">
        <v>4</v>
      </c>
      <c r="I407" s="117">
        <v>1</v>
      </c>
      <c r="J407" s="115">
        <v>377</v>
      </c>
      <c r="K407" s="115" t="s">
        <v>23</v>
      </c>
      <c r="L407" s="117" t="s">
        <v>24</v>
      </c>
      <c r="M407" s="66">
        <v>172385</v>
      </c>
      <c r="N407" s="66">
        <v>11862</v>
      </c>
      <c r="O407" s="66">
        <v>58611</v>
      </c>
      <c r="P407" s="66">
        <v>230996</v>
      </c>
      <c r="Q407" s="67">
        <v>0.4</v>
      </c>
      <c r="R407" s="66">
        <v>92398</v>
      </c>
      <c r="S407" s="66">
        <v>323395</v>
      </c>
      <c r="T407" s="106">
        <f>IF(A407="Upgrade",IF(OR(H407=4,H407=5),_xlfn.XLOOKUP(I407,'Renewal Rates'!$A$22:$A$27,'Renewal Rates'!$B$22:$B$27,'Renewal Rates'!$B$27,0),'Renewal Rates'!$F$7),IF(A407="Renewal",100%,0%))</f>
        <v>0</v>
      </c>
      <c r="U407" s="68">
        <f t="shared" si="6"/>
        <v>0</v>
      </c>
    </row>
    <row r="408" spans="1:21" s="41" customFormat="1" ht="13.8" x14ac:dyDescent="0.3">
      <c r="A408" s="115" t="s">
        <v>21</v>
      </c>
      <c r="B408" s="116">
        <v>2000012504</v>
      </c>
      <c r="C408" s="116">
        <v>12.005000000000001</v>
      </c>
      <c r="D408" s="117">
        <v>58.8</v>
      </c>
      <c r="E408" s="117"/>
      <c r="F408" s="117">
        <v>1500</v>
      </c>
      <c r="G408" s="117">
        <v>1800</v>
      </c>
      <c r="H408" s="123">
        <v>5</v>
      </c>
      <c r="I408" s="117">
        <v>3</v>
      </c>
      <c r="J408" s="115">
        <v>385</v>
      </c>
      <c r="K408" s="115" t="s">
        <v>23</v>
      </c>
      <c r="L408" s="117" t="s">
        <v>24</v>
      </c>
      <c r="M408" s="66">
        <v>601116</v>
      </c>
      <c r="N408" s="66">
        <v>10216</v>
      </c>
      <c r="O408" s="66">
        <v>204379</v>
      </c>
      <c r="P408" s="66">
        <v>805495</v>
      </c>
      <c r="Q408" s="67">
        <v>0.4</v>
      </c>
      <c r="R408" s="66">
        <v>322198</v>
      </c>
      <c r="S408" s="66">
        <v>1127693</v>
      </c>
      <c r="T408" s="106">
        <f>IF(A408="Upgrade",IF(OR(H408=4,H408=5),_xlfn.XLOOKUP(I408,'Renewal Rates'!$A$22:$A$27,'Renewal Rates'!$B$22:$B$27,'Renewal Rates'!$B$27,0),'Renewal Rates'!$F$7),IF(A408="Renewal",100%,0%))</f>
        <v>0.21</v>
      </c>
      <c r="U408" s="68">
        <f t="shared" si="6"/>
        <v>236815.53</v>
      </c>
    </row>
    <row r="409" spans="1:21" s="41" customFormat="1" ht="13.8" x14ac:dyDescent="0.3">
      <c r="A409" s="115" t="s">
        <v>21</v>
      </c>
      <c r="B409" s="116">
        <v>2000486966</v>
      </c>
      <c r="C409" s="116">
        <v>12.010999999999999</v>
      </c>
      <c r="D409" s="117">
        <v>24</v>
      </c>
      <c r="E409" s="117"/>
      <c r="F409" s="117">
        <v>750</v>
      </c>
      <c r="G409" s="117">
        <v>675</v>
      </c>
      <c r="H409" s="123"/>
      <c r="I409" s="117" t="s">
        <v>122</v>
      </c>
      <c r="J409" s="115">
        <v>377</v>
      </c>
      <c r="K409" s="115" t="s">
        <v>23</v>
      </c>
      <c r="L409" s="117" t="s">
        <v>24</v>
      </c>
      <c r="M409" s="66">
        <v>140972</v>
      </c>
      <c r="N409" s="66">
        <v>5880</v>
      </c>
      <c r="O409" s="66">
        <v>47931</v>
      </c>
      <c r="P409" s="66">
        <v>188903</v>
      </c>
      <c r="Q409" s="67">
        <v>0.4</v>
      </c>
      <c r="R409" s="66">
        <v>75561</v>
      </c>
      <c r="S409" s="66">
        <v>264464</v>
      </c>
      <c r="T409" s="106">
        <f>IF(A409="Upgrade",IF(OR(H409=4,H409=5),_xlfn.XLOOKUP(I409,'Renewal Rates'!$A$22:$A$27,'Renewal Rates'!$B$22:$B$27,'Renewal Rates'!$B$27,0),'Renewal Rates'!$F$7),IF(A409="Renewal",100%,0%))</f>
        <v>2.6599999999999999E-2</v>
      </c>
      <c r="U409" s="68">
        <f t="shared" si="6"/>
        <v>7034.7424000000001</v>
      </c>
    </row>
    <row r="410" spans="1:21" s="41" customFormat="1" ht="13.8" x14ac:dyDescent="0.3">
      <c r="A410" s="115" t="s">
        <v>21</v>
      </c>
      <c r="B410" s="116">
        <v>2000383049</v>
      </c>
      <c r="C410" s="116">
        <v>12.010999999999999</v>
      </c>
      <c r="D410" s="117">
        <v>20</v>
      </c>
      <c r="E410" s="117"/>
      <c r="F410" s="117">
        <v>750</v>
      </c>
      <c r="G410" s="117">
        <v>675</v>
      </c>
      <c r="H410" s="123"/>
      <c r="I410" s="117" t="s">
        <v>122</v>
      </c>
      <c r="J410" s="115">
        <v>377</v>
      </c>
      <c r="K410" s="115" t="s">
        <v>23</v>
      </c>
      <c r="L410" s="117" t="s">
        <v>24</v>
      </c>
      <c r="M410" s="66">
        <v>116778</v>
      </c>
      <c r="N410" s="66">
        <v>5839</v>
      </c>
      <c r="O410" s="66">
        <v>39705</v>
      </c>
      <c r="P410" s="66">
        <v>156483</v>
      </c>
      <c r="Q410" s="67">
        <v>0.4</v>
      </c>
      <c r="R410" s="66">
        <v>62593</v>
      </c>
      <c r="S410" s="66">
        <v>219076</v>
      </c>
      <c r="T410" s="106">
        <f>IF(A410="Upgrade",IF(OR(H410=4,H410=5),_xlfn.XLOOKUP(I410,'Renewal Rates'!$A$22:$A$27,'Renewal Rates'!$B$22:$B$27,'Renewal Rates'!$B$27,0),'Renewal Rates'!$F$7),IF(A410="Renewal",100%,0%))</f>
        <v>2.6599999999999999E-2</v>
      </c>
      <c r="U410" s="68">
        <f t="shared" si="6"/>
        <v>5827.4215999999997</v>
      </c>
    </row>
    <row r="411" spans="1:21" s="41" customFormat="1" ht="13.8" x14ac:dyDescent="0.3">
      <c r="A411" s="115" t="s">
        <v>21</v>
      </c>
      <c r="B411" s="116">
        <v>2000684406</v>
      </c>
      <c r="C411" s="116">
        <v>12.012</v>
      </c>
      <c r="D411" s="117">
        <v>36.1</v>
      </c>
      <c r="E411" s="117"/>
      <c r="F411" s="117">
        <v>525</v>
      </c>
      <c r="G411" s="117">
        <v>450</v>
      </c>
      <c r="H411" s="123"/>
      <c r="I411" s="117" t="s">
        <v>122</v>
      </c>
      <c r="J411" s="115">
        <v>375</v>
      </c>
      <c r="K411" s="115" t="s">
        <v>23</v>
      </c>
      <c r="L411" s="117" t="s">
        <v>24</v>
      </c>
      <c r="M411" s="66">
        <v>108998</v>
      </c>
      <c r="N411" s="66">
        <v>3019</v>
      </c>
      <c r="O411" s="66">
        <v>37059</v>
      </c>
      <c r="P411" s="66">
        <v>146058</v>
      </c>
      <c r="Q411" s="67">
        <v>0.4</v>
      </c>
      <c r="R411" s="66">
        <v>58423</v>
      </c>
      <c r="S411" s="66">
        <v>204481</v>
      </c>
      <c r="T411" s="106">
        <f>IF(A411="Upgrade",IF(OR(H411=4,H411=5),_xlfn.XLOOKUP(I411,'Renewal Rates'!$A$22:$A$27,'Renewal Rates'!$B$22:$B$27,'Renewal Rates'!$B$27,0),'Renewal Rates'!$F$7),IF(A411="Renewal",100%,0%))</f>
        <v>2.6599999999999999E-2</v>
      </c>
      <c r="U411" s="68">
        <f t="shared" si="6"/>
        <v>5439.1945999999998</v>
      </c>
    </row>
    <row r="412" spans="1:21" s="41" customFormat="1" ht="13.8" x14ac:dyDescent="0.3">
      <c r="A412" s="115" t="s">
        <v>21</v>
      </c>
      <c r="B412" s="116">
        <v>2000607041</v>
      </c>
      <c r="C412" s="116">
        <v>12.012</v>
      </c>
      <c r="D412" s="117">
        <v>23.4</v>
      </c>
      <c r="E412" s="117"/>
      <c r="F412" s="117">
        <v>525</v>
      </c>
      <c r="G412" s="117">
        <v>450</v>
      </c>
      <c r="H412" s="123">
        <v>4</v>
      </c>
      <c r="I412" s="117">
        <v>3</v>
      </c>
      <c r="J412" s="115">
        <v>375</v>
      </c>
      <c r="K412" s="115" t="s">
        <v>23</v>
      </c>
      <c r="L412" s="117" t="s">
        <v>24</v>
      </c>
      <c r="M412" s="66">
        <v>80499</v>
      </c>
      <c r="N412" s="66">
        <v>3442</v>
      </c>
      <c r="O412" s="66">
        <v>27370</v>
      </c>
      <c r="P412" s="66">
        <v>107868</v>
      </c>
      <c r="Q412" s="67">
        <v>0.4</v>
      </c>
      <c r="R412" s="66">
        <v>43147</v>
      </c>
      <c r="S412" s="66">
        <v>151016</v>
      </c>
      <c r="T412" s="106">
        <f>IF(A412="Upgrade",IF(OR(H412=4,H412=5),_xlfn.XLOOKUP(I412,'Renewal Rates'!$A$22:$A$27,'Renewal Rates'!$B$22:$B$27,'Renewal Rates'!$B$27,0),'Renewal Rates'!$F$7),IF(A412="Renewal",100%,0%))</f>
        <v>0.21</v>
      </c>
      <c r="U412" s="68">
        <f t="shared" si="6"/>
        <v>31713.360000000001</v>
      </c>
    </row>
    <row r="413" spans="1:21" s="41" customFormat="1" ht="13.8" x14ac:dyDescent="0.3">
      <c r="A413" s="115" t="s">
        <v>21</v>
      </c>
      <c r="B413" s="116">
        <v>2000146113</v>
      </c>
      <c r="C413" s="116">
        <v>12.012</v>
      </c>
      <c r="D413" s="117">
        <v>35.5</v>
      </c>
      <c r="E413" s="117"/>
      <c r="F413" s="117">
        <v>450</v>
      </c>
      <c r="G413" s="117">
        <v>450</v>
      </c>
      <c r="H413" s="123">
        <v>4</v>
      </c>
      <c r="I413" s="117">
        <v>2</v>
      </c>
      <c r="J413" s="115">
        <v>375</v>
      </c>
      <c r="K413" s="115" t="s">
        <v>23</v>
      </c>
      <c r="L413" s="117" t="s">
        <v>24</v>
      </c>
      <c r="M413" s="66">
        <v>108550</v>
      </c>
      <c r="N413" s="66">
        <v>3060</v>
      </c>
      <c r="O413" s="66">
        <v>36907</v>
      </c>
      <c r="P413" s="66">
        <v>145457</v>
      </c>
      <c r="Q413" s="67">
        <v>0.4</v>
      </c>
      <c r="R413" s="66">
        <v>58183</v>
      </c>
      <c r="S413" s="66">
        <v>203640</v>
      </c>
      <c r="T413" s="106">
        <f>IF(A413="Upgrade",IF(OR(H413=4,H413=5),_xlfn.XLOOKUP(I413,'Renewal Rates'!$A$22:$A$27,'Renewal Rates'!$B$22:$B$27,'Renewal Rates'!$B$27,0),'Renewal Rates'!$F$7),IF(A413="Renewal",100%,0%))</f>
        <v>0</v>
      </c>
      <c r="U413" s="68">
        <f t="shared" si="6"/>
        <v>0</v>
      </c>
    </row>
    <row r="414" spans="1:21" s="41" customFormat="1" ht="13.8" x14ac:dyDescent="0.3">
      <c r="A414" s="115" t="s">
        <v>21</v>
      </c>
      <c r="B414" s="116">
        <v>2000192119</v>
      </c>
      <c r="C414" s="116">
        <v>12.012</v>
      </c>
      <c r="D414" s="117">
        <v>27</v>
      </c>
      <c r="E414" s="117"/>
      <c r="F414" s="117">
        <v>450</v>
      </c>
      <c r="G414" s="117">
        <v>450</v>
      </c>
      <c r="H414" s="123">
        <v>4</v>
      </c>
      <c r="I414" s="117">
        <v>2</v>
      </c>
      <c r="J414" s="115">
        <v>375</v>
      </c>
      <c r="K414" s="115" t="s">
        <v>23</v>
      </c>
      <c r="L414" s="117" t="s">
        <v>24</v>
      </c>
      <c r="M414" s="66">
        <v>83089</v>
      </c>
      <c r="N414" s="66">
        <v>3075</v>
      </c>
      <c r="O414" s="66">
        <v>28250</v>
      </c>
      <c r="P414" s="66">
        <v>111339</v>
      </c>
      <c r="Q414" s="67">
        <v>0.4</v>
      </c>
      <c r="R414" s="66">
        <v>44536</v>
      </c>
      <c r="S414" s="66">
        <v>155875</v>
      </c>
      <c r="T414" s="106">
        <f>IF(A414="Upgrade",IF(OR(H414=4,H414=5),_xlfn.XLOOKUP(I414,'Renewal Rates'!$A$22:$A$27,'Renewal Rates'!$B$22:$B$27,'Renewal Rates'!$B$27,0),'Renewal Rates'!$F$7),IF(A414="Renewal",100%,0%))</f>
        <v>0</v>
      </c>
      <c r="U414" s="68">
        <f t="shared" si="6"/>
        <v>0</v>
      </c>
    </row>
    <row r="415" spans="1:21" s="41" customFormat="1" ht="13.8" x14ac:dyDescent="0.3">
      <c r="A415" s="115" t="s">
        <v>21</v>
      </c>
      <c r="B415" s="116">
        <v>2000829871</v>
      </c>
      <c r="C415" s="116">
        <v>12.012</v>
      </c>
      <c r="D415" s="117">
        <v>69.7</v>
      </c>
      <c r="E415" s="117"/>
      <c r="F415" s="117">
        <v>450</v>
      </c>
      <c r="G415" s="117">
        <v>450</v>
      </c>
      <c r="H415" s="123">
        <v>4</v>
      </c>
      <c r="I415" s="117">
        <v>3</v>
      </c>
      <c r="J415" s="115">
        <v>375</v>
      </c>
      <c r="K415" s="115" t="s">
        <v>23</v>
      </c>
      <c r="L415" s="117" t="s">
        <v>24</v>
      </c>
      <c r="M415" s="66">
        <v>191159</v>
      </c>
      <c r="N415" s="66">
        <v>2743</v>
      </c>
      <c r="O415" s="66">
        <v>64994</v>
      </c>
      <c r="P415" s="66">
        <v>256154</v>
      </c>
      <c r="Q415" s="67">
        <v>0.4</v>
      </c>
      <c r="R415" s="66">
        <v>102461</v>
      </c>
      <c r="S415" s="66">
        <v>358615</v>
      </c>
      <c r="T415" s="106">
        <f>IF(A415="Upgrade",IF(OR(H415=4,H415=5),_xlfn.XLOOKUP(I415,'Renewal Rates'!$A$22:$A$27,'Renewal Rates'!$B$22:$B$27,'Renewal Rates'!$B$27,0),'Renewal Rates'!$F$7),IF(A415="Renewal",100%,0%))</f>
        <v>0.21</v>
      </c>
      <c r="U415" s="68">
        <f t="shared" si="6"/>
        <v>75309.149999999994</v>
      </c>
    </row>
    <row r="416" spans="1:21" s="41" customFormat="1" ht="13.8" x14ac:dyDescent="0.3">
      <c r="A416" s="115" t="s">
        <v>21</v>
      </c>
      <c r="B416" s="116">
        <v>2000212272</v>
      </c>
      <c r="C416" s="116">
        <v>12.01</v>
      </c>
      <c r="D416" s="117">
        <v>9.4</v>
      </c>
      <c r="E416" s="117"/>
      <c r="F416" s="117">
        <v>525</v>
      </c>
      <c r="G416" s="117">
        <v>450</v>
      </c>
      <c r="H416" s="123">
        <v>4</v>
      </c>
      <c r="I416" s="117">
        <v>1</v>
      </c>
      <c r="J416" s="115">
        <v>375</v>
      </c>
      <c r="K416" s="115" t="s">
        <v>23</v>
      </c>
      <c r="L416" s="117" t="s">
        <v>24</v>
      </c>
      <c r="M416" s="66">
        <v>51076</v>
      </c>
      <c r="N416" s="66">
        <v>5446</v>
      </c>
      <c r="O416" s="66">
        <v>17366</v>
      </c>
      <c r="P416" s="66">
        <v>68442</v>
      </c>
      <c r="Q416" s="67">
        <v>0.4</v>
      </c>
      <c r="R416" s="66">
        <v>27377</v>
      </c>
      <c r="S416" s="66">
        <v>95819</v>
      </c>
      <c r="T416" s="106">
        <f>IF(A416="Upgrade",IF(OR(H416=4,H416=5),_xlfn.XLOOKUP(I416,'Renewal Rates'!$A$22:$A$27,'Renewal Rates'!$B$22:$B$27,'Renewal Rates'!$B$27,0),'Renewal Rates'!$F$7),IF(A416="Renewal",100%,0%))</f>
        <v>0</v>
      </c>
      <c r="U416" s="68">
        <f t="shared" si="6"/>
        <v>0</v>
      </c>
    </row>
    <row r="417" spans="1:21" s="41" customFormat="1" ht="13.8" x14ac:dyDescent="0.3">
      <c r="A417" s="115" t="s">
        <v>21</v>
      </c>
      <c r="B417" s="116">
        <v>2000152501</v>
      </c>
      <c r="C417" s="116">
        <v>12.01</v>
      </c>
      <c r="D417" s="117">
        <v>18</v>
      </c>
      <c r="E417" s="117"/>
      <c r="F417" s="117">
        <v>525</v>
      </c>
      <c r="G417" s="117">
        <v>450</v>
      </c>
      <c r="H417" s="123">
        <v>4</v>
      </c>
      <c r="I417" s="117">
        <v>3</v>
      </c>
      <c r="J417" s="115">
        <v>375</v>
      </c>
      <c r="K417" s="115" t="s">
        <v>23</v>
      </c>
      <c r="L417" s="117" t="s">
        <v>24</v>
      </c>
      <c r="M417" s="66">
        <v>76671</v>
      </c>
      <c r="N417" s="66">
        <v>4255</v>
      </c>
      <c r="O417" s="66">
        <v>26068</v>
      </c>
      <c r="P417" s="66">
        <v>102739</v>
      </c>
      <c r="Q417" s="67">
        <v>0.4</v>
      </c>
      <c r="R417" s="66">
        <v>41096</v>
      </c>
      <c r="S417" s="66">
        <v>143835</v>
      </c>
      <c r="T417" s="106">
        <f>IF(A417="Upgrade",IF(OR(H417=4,H417=5),_xlfn.XLOOKUP(I417,'Renewal Rates'!$A$22:$A$27,'Renewal Rates'!$B$22:$B$27,'Renewal Rates'!$B$27,0),'Renewal Rates'!$F$7),IF(A417="Renewal",100%,0%))</f>
        <v>0.21</v>
      </c>
      <c r="U417" s="68">
        <f t="shared" si="6"/>
        <v>30205.35</v>
      </c>
    </row>
    <row r="418" spans="1:21" s="41" customFormat="1" ht="13.8" x14ac:dyDescent="0.3">
      <c r="A418" s="115" t="s">
        <v>21</v>
      </c>
      <c r="B418" s="116">
        <v>2000141494</v>
      </c>
      <c r="C418" s="116">
        <v>12.01</v>
      </c>
      <c r="D418" s="117">
        <v>43.3</v>
      </c>
      <c r="E418" s="117"/>
      <c r="F418" s="117">
        <v>450</v>
      </c>
      <c r="G418" s="117">
        <v>450</v>
      </c>
      <c r="H418" s="123">
        <v>4</v>
      </c>
      <c r="I418" s="117">
        <v>2</v>
      </c>
      <c r="J418" s="115">
        <v>375</v>
      </c>
      <c r="K418" s="115" t="s">
        <v>23</v>
      </c>
      <c r="L418" s="117" t="s">
        <v>24</v>
      </c>
      <c r="M418" s="66">
        <v>117192</v>
      </c>
      <c r="N418" s="66">
        <v>2706</v>
      </c>
      <c r="O418" s="66">
        <v>39845</v>
      </c>
      <c r="P418" s="66">
        <v>157037</v>
      </c>
      <c r="Q418" s="67">
        <v>0.4</v>
      </c>
      <c r="R418" s="66">
        <v>62815</v>
      </c>
      <c r="S418" s="66">
        <v>219851</v>
      </c>
      <c r="T418" s="106">
        <f>IF(A418="Upgrade",IF(OR(H418=4,H418=5),_xlfn.XLOOKUP(I418,'Renewal Rates'!$A$22:$A$27,'Renewal Rates'!$B$22:$B$27,'Renewal Rates'!$B$27,0),'Renewal Rates'!$F$7),IF(A418="Renewal",100%,0%))</f>
        <v>0</v>
      </c>
      <c r="U418" s="68">
        <f t="shared" si="6"/>
        <v>0</v>
      </c>
    </row>
    <row r="419" spans="1:21" s="41" customFormat="1" ht="13.8" x14ac:dyDescent="0.3">
      <c r="A419" s="115" t="s">
        <v>21</v>
      </c>
      <c r="B419" s="116">
        <v>2000123703</v>
      </c>
      <c r="C419" s="116">
        <v>13.019</v>
      </c>
      <c r="D419" s="117">
        <v>19.600000000000001</v>
      </c>
      <c r="E419" s="117"/>
      <c r="F419" s="117">
        <v>225</v>
      </c>
      <c r="G419" s="117">
        <v>375</v>
      </c>
      <c r="H419" s="123"/>
      <c r="I419" s="117" t="s">
        <v>122</v>
      </c>
      <c r="J419" s="115">
        <v>377</v>
      </c>
      <c r="K419" s="115" t="s">
        <v>23</v>
      </c>
      <c r="L419" s="117" t="s">
        <v>24</v>
      </c>
      <c r="M419" s="66">
        <v>62984</v>
      </c>
      <c r="N419" s="66">
        <v>3210</v>
      </c>
      <c r="O419" s="66">
        <v>22283</v>
      </c>
      <c r="P419" s="66">
        <v>87820</v>
      </c>
      <c r="Q419" s="67">
        <v>0.4</v>
      </c>
      <c r="R419" s="66">
        <v>35128</v>
      </c>
      <c r="S419" s="66">
        <v>122948</v>
      </c>
      <c r="T419" s="106">
        <f>IF(A419="Upgrade",IF(OR(H419=4,H419=5),_xlfn.XLOOKUP(I419,'Renewal Rates'!$A$22:$A$27,'Renewal Rates'!$B$22:$B$27,'Renewal Rates'!$B$27,0),'Renewal Rates'!$F$7),IF(A419="Renewal",100%,0%))</f>
        <v>2.6599999999999999E-2</v>
      </c>
      <c r="U419" s="68">
        <f t="shared" si="6"/>
        <v>3270.4168</v>
      </c>
    </row>
    <row r="420" spans="1:21" s="41" customFormat="1" ht="13.8" x14ac:dyDescent="0.3">
      <c r="A420" s="115" t="s">
        <v>25</v>
      </c>
      <c r="B420" s="116" t="s">
        <v>22</v>
      </c>
      <c r="C420" s="116">
        <v>13.007999999999999</v>
      </c>
      <c r="D420" s="117"/>
      <c r="E420" s="117">
        <v>119.5</v>
      </c>
      <c r="F420" s="117"/>
      <c r="G420" s="117">
        <v>375</v>
      </c>
      <c r="H420" s="123"/>
      <c r="I420" s="117" t="s">
        <v>122</v>
      </c>
      <c r="J420" s="115">
        <v>377</v>
      </c>
      <c r="K420" s="115" t="s">
        <v>23</v>
      </c>
      <c r="L420" s="117" t="s">
        <v>24</v>
      </c>
      <c r="M420" s="66">
        <v>218144</v>
      </c>
      <c r="N420" s="66">
        <v>1825</v>
      </c>
      <c r="O420" s="66">
        <v>85452</v>
      </c>
      <c r="P420" s="66">
        <v>336780</v>
      </c>
      <c r="Q420" s="67">
        <v>0.4</v>
      </c>
      <c r="R420" s="66">
        <v>134712</v>
      </c>
      <c r="S420" s="66">
        <v>471493</v>
      </c>
      <c r="T420" s="106">
        <f>IF(A420="Upgrade",IF(OR(H420=4,H420=5),_xlfn.XLOOKUP(I420,'Renewal Rates'!$A$22:$A$27,'Renewal Rates'!$B$22:$B$27,'Renewal Rates'!$B$27,0),'Renewal Rates'!$F$7),IF(A420="Renewal",100%,0%))</f>
        <v>0</v>
      </c>
      <c r="U420" s="68">
        <f t="shared" si="6"/>
        <v>0</v>
      </c>
    </row>
    <row r="421" spans="1:21" s="41" customFormat="1" ht="13.8" x14ac:dyDescent="0.3">
      <c r="A421" s="115" t="s">
        <v>21</v>
      </c>
      <c r="B421" s="116">
        <v>3000094340</v>
      </c>
      <c r="C421" s="116">
        <v>13.023999999999999</v>
      </c>
      <c r="D421" s="117">
        <v>10.5</v>
      </c>
      <c r="E421" s="117"/>
      <c r="F421" s="117">
        <v>375</v>
      </c>
      <c r="G421" s="117">
        <v>750</v>
      </c>
      <c r="H421" s="123"/>
      <c r="I421" s="117" t="s">
        <v>122</v>
      </c>
      <c r="J421" s="115">
        <v>377</v>
      </c>
      <c r="K421" s="115" t="s">
        <v>23</v>
      </c>
      <c r="L421" s="117" t="s">
        <v>24</v>
      </c>
      <c r="M421" s="66">
        <v>83210</v>
      </c>
      <c r="N421" s="66">
        <v>7953</v>
      </c>
      <c r="O421" s="66">
        <v>28291</v>
      </c>
      <c r="P421" s="66">
        <v>111502</v>
      </c>
      <c r="Q421" s="67">
        <v>0.4</v>
      </c>
      <c r="R421" s="66">
        <v>44601</v>
      </c>
      <c r="S421" s="66">
        <v>156102</v>
      </c>
      <c r="T421" s="106">
        <f>IF(A421="Upgrade",IF(OR(H421=4,H421=5),_xlfn.XLOOKUP(I421,'Renewal Rates'!$A$22:$A$27,'Renewal Rates'!$B$22:$B$27,'Renewal Rates'!$B$27,0),'Renewal Rates'!$F$7),IF(A421="Renewal",100%,0%))</f>
        <v>2.6599999999999999E-2</v>
      </c>
      <c r="U421" s="68">
        <f t="shared" si="6"/>
        <v>4152.3131999999996</v>
      </c>
    </row>
    <row r="422" spans="1:21" s="41" customFormat="1" ht="13.8" x14ac:dyDescent="0.3">
      <c r="A422" s="115" t="s">
        <v>21</v>
      </c>
      <c r="B422" s="116">
        <v>2000949306</v>
      </c>
      <c r="C422" s="116">
        <v>13.023999999999999</v>
      </c>
      <c r="D422" s="117">
        <v>92.6</v>
      </c>
      <c r="E422" s="117"/>
      <c r="F422" s="117">
        <v>375</v>
      </c>
      <c r="G422" s="117">
        <v>750</v>
      </c>
      <c r="H422" s="123"/>
      <c r="I422" s="117" t="s">
        <v>122</v>
      </c>
      <c r="J422" s="115">
        <v>377</v>
      </c>
      <c r="K422" s="115" t="s">
        <v>23</v>
      </c>
      <c r="L422" s="117" t="s">
        <v>24</v>
      </c>
      <c r="M422" s="66">
        <v>374925</v>
      </c>
      <c r="N422" s="66">
        <v>4048</v>
      </c>
      <c r="O422" s="66">
        <v>127475</v>
      </c>
      <c r="P422" s="66">
        <v>502400</v>
      </c>
      <c r="Q422" s="67">
        <v>0.4</v>
      </c>
      <c r="R422" s="66">
        <v>200960</v>
      </c>
      <c r="S422" s="66">
        <v>703359</v>
      </c>
      <c r="T422" s="106">
        <f>IF(A422="Upgrade",IF(OR(H422=4,H422=5),_xlfn.XLOOKUP(I422,'Renewal Rates'!$A$22:$A$27,'Renewal Rates'!$B$22:$B$27,'Renewal Rates'!$B$27,0),'Renewal Rates'!$F$7),IF(A422="Renewal",100%,0%))</f>
        <v>2.6599999999999999E-2</v>
      </c>
      <c r="U422" s="68">
        <f t="shared" si="6"/>
        <v>18709.349399999999</v>
      </c>
    </row>
    <row r="423" spans="1:21" s="41" customFormat="1" ht="13.8" x14ac:dyDescent="0.3">
      <c r="A423" s="115" t="s">
        <v>21</v>
      </c>
      <c r="B423" s="116">
        <v>2000515700</v>
      </c>
      <c r="C423" s="116">
        <v>13.023</v>
      </c>
      <c r="D423" s="117">
        <v>55.8</v>
      </c>
      <c r="E423" s="117"/>
      <c r="F423" s="117">
        <v>300</v>
      </c>
      <c r="G423" s="117">
        <v>600</v>
      </c>
      <c r="H423" s="123"/>
      <c r="I423" s="117" t="s">
        <v>122</v>
      </c>
      <c r="J423" s="115">
        <v>377</v>
      </c>
      <c r="K423" s="115" t="s">
        <v>23</v>
      </c>
      <c r="L423" s="117" t="s">
        <v>24</v>
      </c>
      <c r="M423" s="66">
        <v>197322</v>
      </c>
      <c r="N423" s="66">
        <v>3536</v>
      </c>
      <c r="O423" s="66">
        <v>67090</v>
      </c>
      <c r="P423" s="66">
        <v>264412</v>
      </c>
      <c r="Q423" s="67">
        <v>0.4</v>
      </c>
      <c r="R423" s="66">
        <v>105765</v>
      </c>
      <c r="S423" s="66">
        <v>370177</v>
      </c>
      <c r="T423" s="106">
        <f>IF(A423="Upgrade",IF(OR(H423=4,H423=5),_xlfn.XLOOKUP(I423,'Renewal Rates'!$A$22:$A$27,'Renewal Rates'!$B$22:$B$27,'Renewal Rates'!$B$27,0),'Renewal Rates'!$F$7),IF(A423="Renewal",100%,0%))</f>
        <v>2.6599999999999999E-2</v>
      </c>
      <c r="U423" s="68">
        <f t="shared" si="6"/>
        <v>9846.7081999999991</v>
      </c>
    </row>
    <row r="424" spans="1:21" s="41" customFormat="1" ht="13.8" x14ac:dyDescent="0.3">
      <c r="A424" s="115" t="s">
        <v>21</v>
      </c>
      <c r="B424" s="116">
        <v>2000560867</v>
      </c>
      <c r="C424" s="116">
        <v>13.015000000000001</v>
      </c>
      <c r="D424" s="117">
        <v>20</v>
      </c>
      <c r="E424" s="117"/>
      <c r="F424" s="117">
        <v>300</v>
      </c>
      <c r="G424" s="117">
        <v>825</v>
      </c>
      <c r="H424" s="123"/>
      <c r="I424" s="117" t="s">
        <v>122</v>
      </c>
      <c r="J424" s="115">
        <v>375</v>
      </c>
      <c r="K424" s="115" t="s">
        <v>23</v>
      </c>
      <c r="L424" s="117" t="s">
        <v>24</v>
      </c>
      <c r="M424" s="66">
        <v>118411</v>
      </c>
      <c r="N424" s="66">
        <v>5925</v>
      </c>
      <c r="O424" s="66">
        <v>40260</v>
      </c>
      <c r="P424" s="66">
        <v>158671</v>
      </c>
      <c r="Q424" s="67">
        <v>0.4</v>
      </c>
      <c r="R424" s="66">
        <v>63469</v>
      </c>
      <c r="S424" s="66">
        <v>222140</v>
      </c>
      <c r="T424" s="106">
        <f>IF(A424="Upgrade",IF(OR(H424=4,H424=5),_xlfn.XLOOKUP(I424,'Renewal Rates'!$A$22:$A$27,'Renewal Rates'!$B$22:$B$27,'Renewal Rates'!$B$27,0),'Renewal Rates'!$F$7),IF(A424="Renewal",100%,0%))</f>
        <v>2.6599999999999999E-2</v>
      </c>
      <c r="U424" s="68">
        <f t="shared" si="6"/>
        <v>5908.924</v>
      </c>
    </row>
    <row r="425" spans="1:21" s="41" customFormat="1" ht="13.8" x14ac:dyDescent="0.3">
      <c r="A425" s="115" t="s">
        <v>21</v>
      </c>
      <c r="B425" s="116">
        <v>3000043178</v>
      </c>
      <c r="C425" s="116">
        <v>13.015000000000001</v>
      </c>
      <c r="D425" s="117">
        <v>23.4</v>
      </c>
      <c r="E425" s="117"/>
      <c r="F425" s="117">
        <v>225</v>
      </c>
      <c r="G425" s="117">
        <v>825</v>
      </c>
      <c r="H425" s="123"/>
      <c r="I425" s="117" t="s">
        <v>122</v>
      </c>
      <c r="J425" s="115">
        <v>375</v>
      </c>
      <c r="K425" s="115" t="s">
        <v>23</v>
      </c>
      <c r="L425" s="117" t="s">
        <v>24</v>
      </c>
      <c r="M425" s="66">
        <v>123608</v>
      </c>
      <c r="N425" s="66">
        <v>5284</v>
      </c>
      <c r="O425" s="66">
        <v>42027</v>
      </c>
      <c r="P425" s="66">
        <v>165635</v>
      </c>
      <c r="Q425" s="67">
        <v>0.4</v>
      </c>
      <c r="R425" s="66">
        <v>66254</v>
      </c>
      <c r="S425" s="66">
        <v>231889</v>
      </c>
      <c r="T425" s="106">
        <f>IF(A425="Upgrade",IF(OR(H425=4,H425=5),_xlfn.XLOOKUP(I425,'Renewal Rates'!$A$22:$A$27,'Renewal Rates'!$B$22:$B$27,'Renewal Rates'!$B$27,0),'Renewal Rates'!$F$7),IF(A425="Renewal",100%,0%))</f>
        <v>2.6599999999999999E-2</v>
      </c>
      <c r="U425" s="68">
        <f t="shared" si="6"/>
        <v>6168.2473999999993</v>
      </c>
    </row>
    <row r="426" spans="1:21" s="41" customFormat="1" ht="13.8" x14ac:dyDescent="0.3">
      <c r="A426" s="115" t="s">
        <v>21</v>
      </c>
      <c r="B426" s="116">
        <v>2000569877</v>
      </c>
      <c r="C426" s="116">
        <v>13.022</v>
      </c>
      <c r="D426" s="117">
        <v>35.200000000000003</v>
      </c>
      <c r="E426" s="117"/>
      <c r="F426" s="117">
        <v>300</v>
      </c>
      <c r="G426" s="117">
        <v>750</v>
      </c>
      <c r="H426" s="123"/>
      <c r="I426" s="117" t="s">
        <v>122</v>
      </c>
      <c r="J426" s="115">
        <v>375</v>
      </c>
      <c r="K426" s="115" t="s">
        <v>23</v>
      </c>
      <c r="L426" s="117" t="s">
        <v>24</v>
      </c>
      <c r="M426" s="66">
        <v>249294</v>
      </c>
      <c r="N426" s="66">
        <v>7086</v>
      </c>
      <c r="O426" s="66">
        <v>84760</v>
      </c>
      <c r="P426" s="66">
        <v>334054</v>
      </c>
      <c r="Q426" s="67">
        <v>0.4</v>
      </c>
      <c r="R426" s="66">
        <v>133622</v>
      </c>
      <c r="S426" s="66">
        <v>467676</v>
      </c>
      <c r="T426" s="106">
        <f>IF(A426="Upgrade",IF(OR(H426=4,H426=5),_xlfn.XLOOKUP(I426,'Renewal Rates'!$A$22:$A$27,'Renewal Rates'!$B$22:$B$27,'Renewal Rates'!$B$27,0),'Renewal Rates'!$F$7),IF(A426="Renewal",100%,0%))</f>
        <v>2.6599999999999999E-2</v>
      </c>
      <c r="U426" s="68">
        <f t="shared" si="6"/>
        <v>12440.1816</v>
      </c>
    </row>
    <row r="427" spans="1:21" s="41" customFormat="1" ht="13.8" x14ac:dyDescent="0.3">
      <c r="A427" s="115" t="s">
        <v>21</v>
      </c>
      <c r="B427" s="116">
        <v>2000041321</v>
      </c>
      <c r="C427" s="116">
        <v>13.021000000000001</v>
      </c>
      <c r="D427" s="117">
        <v>37.799999999999997</v>
      </c>
      <c r="E427" s="117"/>
      <c r="F427" s="117">
        <v>225</v>
      </c>
      <c r="G427" s="117">
        <v>675</v>
      </c>
      <c r="H427" s="123"/>
      <c r="I427" s="117" t="s">
        <v>122</v>
      </c>
      <c r="J427" s="115">
        <v>375</v>
      </c>
      <c r="K427" s="115" t="s">
        <v>23</v>
      </c>
      <c r="L427" s="117" t="s">
        <v>24</v>
      </c>
      <c r="M427" s="66">
        <v>153563</v>
      </c>
      <c r="N427" s="66">
        <v>4062</v>
      </c>
      <c r="O427" s="66">
        <v>52211</v>
      </c>
      <c r="P427" s="66">
        <v>205774</v>
      </c>
      <c r="Q427" s="67">
        <v>0.4</v>
      </c>
      <c r="R427" s="66">
        <v>82310</v>
      </c>
      <c r="S427" s="66">
        <v>288084</v>
      </c>
      <c r="T427" s="106">
        <f>IF(A427="Upgrade",IF(OR(H427=4,H427=5),_xlfn.XLOOKUP(I427,'Renewal Rates'!$A$22:$A$27,'Renewal Rates'!$B$22:$B$27,'Renewal Rates'!$B$27,0),'Renewal Rates'!$F$7),IF(A427="Renewal",100%,0%))</f>
        <v>2.6599999999999999E-2</v>
      </c>
      <c r="U427" s="68">
        <f t="shared" si="6"/>
        <v>7663.0343999999996</v>
      </c>
    </row>
    <row r="428" spans="1:21" s="41" customFormat="1" ht="13.8" x14ac:dyDescent="0.3">
      <c r="A428" s="115" t="s">
        <v>21</v>
      </c>
      <c r="B428" s="116">
        <v>2000702984</v>
      </c>
      <c r="C428" s="116">
        <v>13.021000000000001</v>
      </c>
      <c r="D428" s="117">
        <v>44.8</v>
      </c>
      <c r="E428" s="117"/>
      <c r="F428" s="117">
        <v>225</v>
      </c>
      <c r="G428" s="117">
        <v>675</v>
      </c>
      <c r="H428" s="123"/>
      <c r="I428" s="117" t="s">
        <v>122</v>
      </c>
      <c r="J428" s="115">
        <v>375</v>
      </c>
      <c r="K428" s="115" t="s">
        <v>23</v>
      </c>
      <c r="L428" s="117" t="s">
        <v>24</v>
      </c>
      <c r="M428" s="66">
        <v>181329</v>
      </c>
      <c r="N428" s="66">
        <v>4050</v>
      </c>
      <c r="O428" s="66">
        <v>61652</v>
      </c>
      <c r="P428" s="66">
        <v>242981</v>
      </c>
      <c r="Q428" s="67">
        <v>0.4</v>
      </c>
      <c r="R428" s="66">
        <v>97192</v>
      </c>
      <c r="S428" s="66">
        <v>340173</v>
      </c>
      <c r="T428" s="106">
        <f>IF(A428="Upgrade",IF(OR(H428=4,H428=5),_xlfn.XLOOKUP(I428,'Renewal Rates'!$A$22:$A$27,'Renewal Rates'!$B$22:$B$27,'Renewal Rates'!$B$27,0),'Renewal Rates'!$F$7),IF(A428="Renewal",100%,0%))</f>
        <v>2.6599999999999999E-2</v>
      </c>
      <c r="U428" s="68">
        <f t="shared" si="6"/>
        <v>9048.6018000000004</v>
      </c>
    </row>
    <row r="429" spans="1:21" s="41" customFormat="1" ht="13.8" x14ac:dyDescent="0.3">
      <c r="A429" s="115" t="s">
        <v>25</v>
      </c>
      <c r="B429" s="116" t="s">
        <v>22</v>
      </c>
      <c r="C429" s="116">
        <v>13.007</v>
      </c>
      <c r="D429" s="117"/>
      <c r="E429" s="117">
        <v>57.4</v>
      </c>
      <c r="F429" s="117"/>
      <c r="G429" s="117">
        <v>375</v>
      </c>
      <c r="H429" s="123"/>
      <c r="I429" s="117" t="s">
        <v>122</v>
      </c>
      <c r="J429" s="115">
        <v>375</v>
      </c>
      <c r="K429" s="115" t="s">
        <v>23</v>
      </c>
      <c r="L429" s="117" t="s">
        <v>24</v>
      </c>
      <c r="M429" s="66">
        <v>135502</v>
      </c>
      <c r="N429" s="66">
        <v>2361</v>
      </c>
      <c r="O429" s="66">
        <v>46071</v>
      </c>
      <c r="P429" s="66">
        <v>181572</v>
      </c>
      <c r="Q429" s="67">
        <v>0.4</v>
      </c>
      <c r="R429" s="66">
        <v>72629</v>
      </c>
      <c r="S429" s="66">
        <v>254201</v>
      </c>
      <c r="T429" s="106">
        <f>IF(A429="Upgrade",IF(OR(H429=4,H429=5),_xlfn.XLOOKUP(I429,'Renewal Rates'!$A$22:$A$27,'Renewal Rates'!$B$22:$B$27,'Renewal Rates'!$B$27,0),'Renewal Rates'!$F$7),IF(A429="Renewal",100%,0%))</f>
        <v>0</v>
      </c>
      <c r="U429" s="68">
        <f t="shared" si="6"/>
        <v>0</v>
      </c>
    </row>
    <row r="430" spans="1:21" s="41" customFormat="1" ht="13.8" x14ac:dyDescent="0.3">
      <c r="A430" s="115" t="s">
        <v>21</v>
      </c>
      <c r="B430" s="116">
        <v>2000199190</v>
      </c>
      <c r="C430" s="116">
        <v>13.016999999999999</v>
      </c>
      <c r="D430" s="117">
        <v>44.8</v>
      </c>
      <c r="E430" s="117"/>
      <c r="F430" s="117">
        <v>600</v>
      </c>
      <c r="G430" s="117">
        <v>1125</v>
      </c>
      <c r="H430" s="123">
        <v>5</v>
      </c>
      <c r="I430" s="117">
        <v>2</v>
      </c>
      <c r="J430" s="115">
        <v>377</v>
      </c>
      <c r="K430" s="115" t="s">
        <v>23</v>
      </c>
      <c r="L430" s="117" t="s">
        <v>24</v>
      </c>
      <c r="M430" s="66">
        <v>264706</v>
      </c>
      <c r="N430" s="66">
        <v>5902</v>
      </c>
      <c r="O430" s="66">
        <v>109864</v>
      </c>
      <c r="P430" s="66">
        <v>432995</v>
      </c>
      <c r="Q430" s="67">
        <v>0.4</v>
      </c>
      <c r="R430" s="66">
        <v>173198</v>
      </c>
      <c r="S430" s="66">
        <v>606192</v>
      </c>
      <c r="T430" s="106">
        <f>IF(A430="Upgrade",IF(OR(H430=4,H430=5),_xlfn.XLOOKUP(I430,'Renewal Rates'!$A$22:$A$27,'Renewal Rates'!$B$22:$B$27,'Renewal Rates'!$B$27,0),'Renewal Rates'!$F$7),IF(A430="Renewal",100%,0%))</f>
        <v>0</v>
      </c>
      <c r="U430" s="68">
        <f t="shared" si="6"/>
        <v>0</v>
      </c>
    </row>
    <row r="431" spans="1:21" s="41" customFormat="1" ht="13.8" x14ac:dyDescent="0.3">
      <c r="A431" s="115" t="s">
        <v>21</v>
      </c>
      <c r="B431" s="116">
        <v>2000546593</v>
      </c>
      <c r="C431" s="116">
        <v>13.016999999999999</v>
      </c>
      <c r="D431" s="117">
        <v>55</v>
      </c>
      <c r="E431" s="117"/>
      <c r="F431" s="117">
        <v>600</v>
      </c>
      <c r="G431" s="117">
        <v>1125</v>
      </c>
      <c r="H431" s="123">
        <v>5</v>
      </c>
      <c r="I431" s="117">
        <v>2</v>
      </c>
      <c r="J431" s="115">
        <v>377</v>
      </c>
      <c r="K431" s="115" t="s">
        <v>23</v>
      </c>
      <c r="L431" s="117" t="s">
        <v>24</v>
      </c>
      <c r="M431" s="66">
        <v>351806</v>
      </c>
      <c r="N431" s="66">
        <v>6391</v>
      </c>
      <c r="O431" s="66">
        <v>151276</v>
      </c>
      <c r="P431" s="66">
        <v>596207</v>
      </c>
      <c r="Q431" s="67">
        <v>0.4</v>
      </c>
      <c r="R431" s="66">
        <v>238483</v>
      </c>
      <c r="S431" s="66">
        <v>834690</v>
      </c>
      <c r="T431" s="106">
        <f>IF(A431="Upgrade",IF(OR(H431=4,H431=5),_xlfn.XLOOKUP(I431,'Renewal Rates'!$A$22:$A$27,'Renewal Rates'!$B$22:$B$27,'Renewal Rates'!$B$27,0),'Renewal Rates'!$F$7),IF(A431="Renewal",100%,0%))</f>
        <v>0</v>
      </c>
      <c r="U431" s="68">
        <f t="shared" si="6"/>
        <v>0</v>
      </c>
    </row>
    <row r="432" spans="1:21" s="41" customFormat="1" ht="13.8" x14ac:dyDescent="0.3">
      <c r="A432" s="115" t="s">
        <v>21</v>
      </c>
      <c r="B432" s="116">
        <v>2000321440</v>
      </c>
      <c r="C432" s="116">
        <v>13.010999999999999</v>
      </c>
      <c r="D432" s="117">
        <v>40.4</v>
      </c>
      <c r="E432" s="117"/>
      <c r="F432" s="117">
        <v>600</v>
      </c>
      <c r="G432" s="117">
        <v>1050</v>
      </c>
      <c r="H432" s="123">
        <v>4</v>
      </c>
      <c r="I432" s="117">
        <v>3</v>
      </c>
      <c r="J432" s="115">
        <v>377</v>
      </c>
      <c r="K432" s="115" t="s">
        <v>23</v>
      </c>
      <c r="L432" s="117" t="s">
        <v>24</v>
      </c>
      <c r="M432" s="66">
        <v>208661</v>
      </c>
      <c r="N432" s="66">
        <v>5165</v>
      </c>
      <c r="O432" s="66">
        <v>88970</v>
      </c>
      <c r="P432" s="66">
        <v>350646</v>
      </c>
      <c r="Q432" s="67">
        <v>0.4</v>
      </c>
      <c r="R432" s="66">
        <v>140259</v>
      </c>
      <c r="S432" s="66">
        <v>490905</v>
      </c>
      <c r="T432" s="106">
        <f>IF(A432="Upgrade",IF(OR(H432=4,H432=5),_xlfn.XLOOKUP(I432,'Renewal Rates'!$A$22:$A$27,'Renewal Rates'!$B$22:$B$27,'Renewal Rates'!$B$27,0),'Renewal Rates'!$F$7),IF(A432="Renewal",100%,0%))</f>
        <v>0.21</v>
      </c>
      <c r="U432" s="68">
        <f t="shared" si="6"/>
        <v>103090.05</v>
      </c>
    </row>
    <row r="433" spans="1:21" s="41" customFormat="1" ht="13.8" x14ac:dyDescent="0.3">
      <c r="A433" s="115" t="s">
        <v>21</v>
      </c>
      <c r="B433" s="116">
        <v>2000091243</v>
      </c>
      <c r="C433" s="116">
        <v>13.010999999999999</v>
      </c>
      <c r="D433" s="117">
        <v>65.099999999999994</v>
      </c>
      <c r="E433" s="117"/>
      <c r="F433" s="117">
        <v>600</v>
      </c>
      <c r="G433" s="117">
        <v>1050</v>
      </c>
      <c r="H433" s="123">
        <v>4</v>
      </c>
      <c r="I433" s="117">
        <v>3</v>
      </c>
      <c r="J433" s="115">
        <v>377</v>
      </c>
      <c r="K433" s="115" t="s">
        <v>23</v>
      </c>
      <c r="L433" s="117" t="s">
        <v>24</v>
      </c>
      <c r="M433" s="66">
        <v>329114</v>
      </c>
      <c r="N433" s="66">
        <v>5057</v>
      </c>
      <c r="O433" s="66">
        <v>149792</v>
      </c>
      <c r="P433" s="66">
        <v>590358</v>
      </c>
      <c r="Q433" s="67">
        <v>0.4</v>
      </c>
      <c r="R433" s="66">
        <v>236143</v>
      </c>
      <c r="S433" s="66">
        <v>826501</v>
      </c>
      <c r="T433" s="106">
        <f>IF(A433="Upgrade",IF(OR(H433=4,H433=5),_xlfn.XLOOKUP(I433,'Renewal Rates'!$A$22:$A$27,'Renewal Rates'!$B$22:$B$27,'Renewal Rates'!$B$27,0),'Renewal Rates'!$F$7),IF(A433="Renewal",100%,0%))</f>
        <v>0.21</v>
      </c>
      <c r="U433" s="68">
        <f t="shared" si="6"/>
        <v>173565.21</v>
      </c>
    </row>
    <row r="434" spans="1:21" s="41" customFormat="1" ht="13.8" x14ac:dyDescent="0.3">
      <c r="A434" s="115" t="s">
        <v>21</v>
      </c>
      <c r="B434" s="116">
        <v>2000904152</v>
      </c>
      <c r="C434" s="116">
        <v>13.013</v>
      </c>
      <c r="D434" s="117">
        <v>41.5</v>
      </c>
      <c r="E434" s="117"/>
      <c r="F434" s="117">
        <v>375</v>
      </c>
      <c r="G434" s="117">
        <v>750</v>
      </c>
      <c r="H434" s="123">
        <v>4</v>
      </c>
      <c r="I434" s="117">
        <v>4</v>
      </c>
      <c r="J434" s="115">
        <v>377</v>
      </c>
      <c r="K434" s="115" t="s">
        <v>23</v>
      </c>
      <c r="L434" s="117" t="s">
        <v>24</v>
      </c>
      <c r="M434" s="66">
        <v>161592</v>
      </c>
      <c r="N434" s="66">
        <v>3890</v>
      </c>
      <c r="O434" s="66">
        <v>70441</v>
      </c>
      <c r="P434" s="66">
        <v>277621</v>
      </c>
      <c r="Q434" s="67">
        <v>0.4</v>
      </c>
      <c r="R434" s="66">
        <v>111049</v>
      </c>
      <c r="S434" s="66">
        <v>388670</v>
      </c>
      <c r="T434" s="106">
        <f>IF(A434="Upgrade",IF(OR(H434=4,H434=5),_xlfn.XLOOKUP(I434,'Renewal Rates'!$A$22:$A$27,'Renewal Rates'!$B$22:$B$27,'Renewal Rates'!$B$27,0),'Renewal Rates'!$F$7),IF(A434="Renewal",100%,0%))</f>
        <v>0.7</v>
      </c>
      <c r="U434" s="68">
        <f t="shared" si="6"/>
        <v>272069</v>
      </c>
    </row>
    <row r="435" spans="1:21" s="41" customFormat="1" ht="13.8" x14ac:dyDescent="0.3">
      <c r="A435" s="115" t="s">
        <v>25</v>
      </c>
      <c r="B435" s="116" t="s">
        <v>22</v>
      </c>
      <c r="C435" s="116">
        <v>13.005000000000001</v>
      </c>
      <c r="D435" s="117"/>
      <c r="E435" s="117">
        <v>176.7</v>
      </c>
      <c r="F435" s="117"/>
      <c r="G435" s="117">
        <v>675</v>
      </c>
      <c r="H435" s="123"/>
      <c r="I435" s="117" t="s">
        <v>122</v>
      </c>
      <c r="J435" s="115">
        <v>377</v>
      </c>
      <c r="K435" s="115" t="s">
        <v>23</v>
      </c>
      <c r="L435" s="117" t="s">
        <v>24</v>
      </c>
      <c r="M435" s="66">
        <v>528865</v>
      </c>
      <c r="N435" s="66">
        <v>2992</v>
      </c>
      <c r="O435" s="66">
        <v>220101</v>
      </c>
      <c r="P435" s="66">
        <v>867457</v>
      </c>
      <c r="Q435" s="67">
        <v>0.4</v>
      </c>
      <c r="R435" s="66">
        <v>346983</v>
      </c>
      <c r="S435" s="66">
        <v>1214440</v>
      </c>
      <c r="T435" s="106">
        <f>IF(A435="Upgrade",IF(OR(H435=4,H435=5),_xlfn.XLOOKUP(I435,'Renewal Rates'!$A$22:$A$27,'Renewal Rates'!$B$22:$B$27,'Renewal Rates'!$B$27,0),'Renewal Rates'!$F$7),IF(A435="Renewal",100%,0%))</f>
        <v>0</v>
      </c>
      <c r="U435" s="68">
        <f t="shared" si="6"/>
        <v>0</v>
      </c>
    </row>
    <row r="436" spans="1:21" s="41" customFormat="1" ht="13.8" x14ac:dyDescent="0.3">
      <c r="A436" s="115" t="s">
        <v>21</v>
      </c>
      <c r="B436" s="116">
        <v>2000133916</v>
      </c>
      <c r="C436" s="116">
        <v>13.013999999999999</v>
      </c>
      <c r="D436" s="117">
        <v>64</v>
      </c>
      <c r="E436" s="117"/>
      <c r="F436" s="117">
        <v>225</v>
      </c>
      <c r="G436" s="117">
        <v>525</v>
      </c>
      <c r="H436" s="123"/>
      <c r="I436" s="117" t="s">
        <v>122</v>
      </c>
      <c r="J436" s="115">
        <v>377</v>
      </c>
      <c r="K436" s="115" t="s">
        <v>23</v>
      </c>
      <c r="L436" s="117" t="s">
        <v>24</v>
      </c>
      <c r="M436" s="66">
        <v>196397</v>
      </c>
      <c r="N436" s="66">
        <v>3070</v>
      </c>
      <c r="O436" s="66">
        <v>66775</v>
      </c>
      <c r="P436" s="66">
        <v>263172</v>
      </c>
      <c r="Q436" s="67">
        <v>0.4</v>
      </c>
      <c r="R436" s="66">
        <v>105269</v>
      </c>
      <c r="S436" s="66">
        <v>368441</v>
      </c>
      <c r="T436" s="106">
        <f>IF(A436="Upgrade",IF(OR(H436=4,H436=5),_xlfn.XLOOKUP(I436,'Renewal Rates'!$A$22:$A$27,'Renewal Rates'!$B$22:$B$27,'Renewal Rates'!$B$27,0),'Renewal Rates'!$F$7),IF(A436="Renewal",100%,0%))</f>
        <v>2.6599999999999999E-2</v>
      </c>
      <c r="U436" s="68">
        <f t="shared" si="6"/>
        <v>9800.5306</v>
      </c>
    </row>
    <row r="437" spans="1:21" s="41" customFormat="1" ht="13.8" x14ac:dyDescent="0.3">
      <c r="A437" s="115" t="s">
        <v>25</v>
      </c>
      <c r="B437" s="116" t="s">
        <v>22</v>
      </c>
      <c r="C437" s="116">
        <v>13.003</v>
      </c>
      <c r="D437" s="117"/>
      <c r="E437" s="117">
        <v>78.3</v>
      </c>
      <c r="F437" s="117"/>
      <c r="G437" s="117">
        <v>600</v>
      </c>
      <c r="H437" s="123"/>
      <c r="I437" s="117" t="s">
        <v>122</v>
      </c>
      <c r="J437" s="115">
        <v>377</v>
      </c>
      <c r="K437" s="115" t="s">
        <v>23</v>
      </c>
      <c r="L437" s="117" t="s">
        <v>24</v>
      </c>
      <c r="M437" s="66">
        <v>243076</v>
      </c>
      <c r="N437" s="66">
        <v>3105</v>
      </c>
      <c r="O437" s="66">
        <v>82646</v>
      </c>
      <c r="P437" s="66">
        <v>325722</v>
      </c>
      <c r="Q437" s="67">
        <v>0.4</v>
      </c>
      <c r="R437" s="66">
        <v>130289</v>
      </c>
      <c r="S437" s="66">
        <v>456010</v>
      </c>
      <c r="T437" s="106">
        <f>IF(A437="Upgrade",IF(OR(H437=4,H437=5),_xlfn.XLOOKUP(I437,'Renewal Rates'!$A$22:$A$27,'Renewal Rates'!$B$22:$B$27,'Renewal Rates'!$B$27,0),'Renewal Rates'!$F$7),IF(A437="Renewal",100%,0%))</f>
        <v>0</v>
      </c>
      <c r="U437" s="68">
        <f t="shared" si="6"/>
        <v>0</v>
      </c>
    </row>
    <row r="438" spans="1:21" s="41" customFormat="1" ht="13.8" x14ac:dyDescent="0.3">
      <c r="A438" s="115" t="s">
        <v>25</v>
      </c>
      <c r="B438" s="116" t="s">
        <v>22</v>
      </c>
      <c r="C438" s="116">
        <v>13.004</v>
      </c>
      <c r="D438" s="117"/>
      <c r="E438" s="117">
        <v>50.7</v>
      </c>
      <c r="F438" s="117"/>
      <c r="G438" s="117">
        <v>450</v>
      </c>
      <c r="H438" s="123"/>
      <c r="I438" s="117" t="s">
        <v>122</v>
      </c>
      <c r="J438" s="115">
        <v>377</v>
      </c>
      <c r="K438" s="115" t="s">
        <v>23</v>
      </c>
      <c r="L438" s="117" t="s">
        <v>24</v>
      </c>
      <c r="M438" s="66">
        <v>158183</v>
      </c>
      <c r="N438" s="66">
        <v>3120</v>
      </c>
      <c r="O438" s="66">
        <v>53782</v>
      </c>
      <c r="P438" s="66">
        <v>211965</v>
      </c>
      <c r="Q438" s="67">
        <v>0.4</v>
      </c>
      <c r="R438" s="66">
        <v>84786</v>
      </c>
      <c r="S438" s="66">
        <v>296751</v>
      </c>
      <c r="T438" s="106">
        <f>IF(A438="Upgrade",IF(OR(H438=4,H438=5),_xlfn.XLOOKUP(I438,'Renewal Rates'!$A$22:$A$27,'Renewal Rates'!$B$22:$B$27,'Renewal Rates'!$B$27,0),'Renewal Rates'!$F$7),IF(A438="Renewal",100%,0%))</f>
        <v>0</v>
      </c>
      <c r="U438" s="68">
        <f t="shared" si="6"/>
        <v>0</v>
      </c>
    </row>
    <row r="439" spans="1:21" s="41" customFormat="1" ht="13.8" x14ac:dyDescent="0.3">
      <c r="A439" s="115" t="s">
        <v>21</v>
      </c>
      <c r="B439" s="116">
        <v>2000063038</v>
      </c>
      <c r="C439" s="116">
        <v>13.012</v>
      </c>
      <c r="D439" s="117">
        <v>31.9</v>
      </c>
      <c r="E439" s="117"/>
      <c r="F439" s="117">
        <v>225</v>
      </c>
      <c r="G439" s="117">
        <v>525</v>
      </c>
      <c r="H439" s="123"/>
      <c r="I439" s="117" t="s">
        <v>122</v>
      </c>
      <c r="J439" s="115">
        <v>377</v>
      </c>
      <c r="K439" s="115" t="s">
        <v>23</v>
      </c>
      <c r="L439" s="117" t="s">
        <v>24</v>
      </c>
      <c r="M439" s="66">
        <v>110644</v>
      </c>
      <c r="N439" s="66">
        <v>3469</v>
      </c>
      <c r="O439" s="66">
        <v>37619</v>
      </c>
      <c r="P439" s="66">
        <v>148263</v>
      </c>
      <c r="Q439" s="67">
        <v>0.4</v>
      </c>
      <c r="R439" s="66">
        <v>59305</v>
      </c>
      <c r="S439" s="66">
        <v>207568</v>
      </c>
      <c r="T439" s="106">
        <f>IF(A439="Upgrade",IF(OR(H439=4,H439=5),_xlfn.XLOOKUP(I439,'Renewal Rates'!$A$22:$A$27,'Renewal Rates'!$B$22:$B$27,'Renewal Rates'!$B$27,0),'Renewal Rates'!$F$7),IF(A439="Renewal",100%,0%))</f>
        <v>2.6599999999999999E-2</v>
      </c>
      <c r="U439" s="68">
        <f t="shared" si="6"/>
        <v>5521.3087999999998</v>
      </c>
    </row>
    <row r="440" spans="1:21" s="41" customFormat="1" ht="13.8" x14ac:dyDescent="0.3">
      <c r="A440" s="115" t="s">
        <v>21</v>
      </c>
      <c r="B440" s="116">
        <v>2000644075</v>
      </c>
      <c r="C440" s="116">
        <v>13.012</v>
      </c>
      <c r="D440" s="117">
        <v>20.6</v>
      </c>
      <c r="E440" s="117"/>
      <c r="F440" s="117">
        <v>225</v>
      </c>
      <c r="G440" s="117">
        <v>525</v>
      </c>
      <c r="H440" s="123"/>
      <c r="I440" s="117" t="s">
        <v>122</v>
      </c>
      <c r="J440" s="115">
        <v>377</v>
      </c>
      <c r="K440" s="115" t="s">
        <v>23</v>
      </c>
      <c r="L440" s="117" t="s">
        <v>24</v>
      </c>
      <c r="M440" s="66">
        <v>81364</v>
      </c>
      <c r="N440" s="66">
        <v>3946</v>
      </c>
      <c r="O440" s="66">
        <v>27664</v>
      </c>
      <c r="P440" s="66">
        <v>109027</v>
      </c>
      <c r="Q440" s="67">
        <v>0.4</v>
      </c>
      <c r="R440" s="66">
        <v>43611</v>
      </c>
      <c r="S440" s="66">
        <v>152638</v>
      </c>
      <c r="T440" s="106">
        <f>IF(A440="Upgrade",IF(OR(H440=4,H440=5),_xlfn.XLOOKUP(I440,'Renewal Rates'!$A$22:$A$27,'Renewal Rates'!$B$22:$B$27,'Renewal Rates'!$B$27,0),'Renewal Rates'!$F$7),IF(A440="Renewal",100%,0%))</f>
        <v>2.6599999999999999E-2</v>
      </c>
      <c r="U440" s="68">
        <f t="shared" si="6"/>
        <v>4060.1707999999999</v>
      </c>
    </row>
    <row r="441" spans="1:21" s="41" customFormat="1" ht="13.8" x14ac:dyDescent="0.3">
      <c r="A441" s="115" t="s">
        <v>21</v>
      </c>
      <c r="B441" s="125">
        <v>2000655276</v>
      </c>
      <c r="C441" s="116">
        <v>13.010999999999999</v>
      </c>
      <c r="D441" s="117">
        <v>17.5</v>
      </c>
      <c r="E441" s="117"/>
      <c r="F441" s="117">
        <v>375</v>
      </c>
      <c r="G441" s="117">
        <v>1050</v>
      </c>
      <c r="H441" s="123"/>
      <c r="I441" s="117" t="s">
        <v>122</v>
      </c>
      <c r="J441" s="115">
        <v>377</v>
      </c>
      <c r="K441" s="115" t="s">
        <v>23</v>
      </c>
      <c r="L441" s="117" t="s">
        <v>24</v>
      </c>
      <c r="M441" s="66">
        <v>147251</v>
      </c>
      <c r="N441" s="66">
        <v>8426</v>
      </c>
      <c r="O441" s="66">
        <v>50065</v>
      </c>
      <c r="P441" s="66">
        <v>197316</v>
      </c>
      <c r="Q441" s="67">
        <v>0.4</v>
      </c>
      <c r="R441" s="66">
        <v>78926</v>
      </c>
      <c r="S441" s="66">
        <v>276242</v>
      </c>
      <c r="T441" s="106">
        <f>IF(A441="Upgrade",IF(OR(H441=4,H441=5),_xlfn.XLOOKUP(I441,'Renewal Rates'!$A$22:$A$27,'Renewal Rates'!$B$22:$B$27,'Renewal Rates'!$B$27,0),'Renewal Rates'!$F$7),IF(A441="Renewal",100%,0%))</f>
        <v>2.6599999999999999E-2</v>
      </c>
      <c r="U441" s="68">
        <f t="shared" si="6"/>
        <v>7348.0371999999998</v>
      </c>
    </row>
    <row r="442" spans="1:21" s="41" customFormat="1" ht="13.8" x14ac:dyDescent="0.3">
      <c r="A442" s="115" t="s">
        <v>21</v>
      </c>
      <c r="B442" s="116">
        <v>2000216006</v>
      </c>
      <c r="C442" s="116">
        <v>13.01</v>
      </c>
      <c r="D442" s="117">
        <v>60.5</v>
      </c>
      <c r="E442" s="117"/>
      <c r="F442" s="117">
        <v>375</v>
      </c>
      <c r="G442" s="117">
        <v>825</v>
      </c>
      <c r="H442" s="123">
        <v>4</v>
      </c>
      <c r="I442" s="117">
        <v>3</v>
      </c>
      <c r="J442" s="115">
        <v>377</v>
      </c>
      <c r="K442" s="115" t="s">
        <v>23</v>
      </c>
      <c r="L442" s="117" t="s">
        <v>24</v>
      </c>
      <c r="M442" s="66">
        <v>281960</v>
      </c>
      <c r="N442" s="66">
        <v>4659</v>
      </c>
      <c r="O442" s="66">
        <v>95866</v>
      </c>
      <c r="P442" s="66">
        <v>377826</v>
      </c>
      <c r="Q442" s="67">
        <v>0.4</v>
      </c>
      <c r="R442" s="66">
        <v>151130</v>
      </c>
      <c r="S442" s="66">
        <v>528956</v>
      </c>
      <c r="T442" s="106">
        <f>IF(A442="Upgrade",IF(OR(H442=4,H442=5),_xlfn.XLOOKUP(I442,'Renewal Rates'!$A$22:$A$27,'Renewal Rates'!$B$22:$B$27,'Renewal Rates'!$B$27,0),'Renewal Rates'!$F$7),IF(A442="Renewal",100%,0%))</f>
        <v>0.21</v>
      </c>
      <c r="U442" s="68">
        <f t="shared" si="6"/>
        <v>111080.76</v>
      </c>
    </row>
    <row r="443" spans="1:21" s="41" customFormat="1" ht="13.8" x14ac:dyDescent="0.3">
      <c r="A443" s="115" t="s">
        <v>21</v>
      </c>
      <c r="B443" s="116">
        <v>2000710550</v>
      </c>
      <c r="C443" s="116">
        <v>13.01</v>
      </c>
      <c r="D443" s="117">
        <v>39.700000000000003</v>
      </c>
      <c r="E443" s="117"/>
      <c r="F443" s="117">
        <v>300</v>
      </c>
      <c r="G443" s="117">
        <v>825</v>
      </c>
      <c r="H443" s="123"/>
      <c r="I443" s="117" t="s">
        <v>122</v>
      </c>
      <c r="J443" s="115">
        <v>377</v>
      </c>
      <c r="K443" s="115" t="s">
        <v>23</v>
      </c>
      <c r="L443" s="117" t="s">
        <v>24</v>
      </c>
      <c r="M443" s="66">
        <v>187367</v>
      </c>
      <c r="N443" s="66">
        <v>4717</v>
      </c>
      <c r="O443" s="66">
        <v>63705</v>
      </c>
      <c r="P443" s="66">
        <v>251072</v>
      </c>
      <c r="Q443" s="67">
        <v>0.4</v>
      </c>
      <c r="R443" s="66">
        <v>100429</v>
      </c>
      <c r="S443" s="66">
        <v>351501</v>
      </c>
      <c r="T443" s="106">
        <f>IF(A443="Upgrade",IF(OR(H443=4,H443=5),_xlfn.XLOOKUP(I443,'Renewal Rates'!$A$22:$A$27,'Renewal Rates'!$B$22:$B$27,'Renewal Rates'!$B$27,0),'Renewal Rates'!$F$7),IF(A443="Renewal",100%,0%))</f>
        <v>2.6599999999999999E-2</v>
      </c>
      <c r="U443" s="68">
        <f t="shared" si="6"/>
        <v>9349.9265999999989</v>
      </c>
    </row>
    <row r="444" spans="1:21" s="41" customFormat="1" ht="13.8" x14ac:dyDescent="0.3">
      <c r="A444" s="115" t="s">
        <v>21</v>
      </c>
      <c r="B444" s="116">
        <v>3000095931</v>
      </c>
      <c r="C444" s="116">
        <v>13.01</v>
      </c>
      <c r="D444" s="117">
        <v>7</v>
      </c>
      <c r="E444" s="117"/>
      <c r="F444" s="117">
        <v>300</v>
      </c>
      <c r="G444" s="117">
        <v>825</v>
      </c>
      <c r="H444" s="123"/>
      <c r="I444" s="117" t="s">
        <v>122</v>
      </c>
      <c r="J444" s="115">
        <v>377</v>
      </c>
      <c r="K444" s="115" t="s">
        <v>23</v>
      </c>
      <c r="L444" s="117" t="s">
        <v>24</v>
      </c>
      <c r="M444" s="66">
        <v>83077</v>
      </c>
      <c r="N444" s="66">
        <v>11948</v>
      </c>
      <c r="O444" s="66">
        <v>28246</v>
      </c>
      <c r="P444" s="66">
        <v>111323</v>
      </c>
      <c r="Q444" s="67">
        <v>0.4</v>
      </c>
      <c r="R444" s="66">
        <v>44529</v>
      </c>
      <c r="S444" s="66">
        <v>155852</v>
      </c>
      <c r="T444" s="106">
        <f>IF(A444="Upgrade",IF(OR(H444=4,H444=5),_xlfn.XLOOKUP(I444,'Renewal Rates'!$A$22:$A$27,'Renewal Rates'!$B$22:$B$27,'Renewal Rates'!$B$27,0),'Renewal Rates'!$F$7),IF(A444="Renewal",100%,0%))</f>
        <v>2.6599999999999999E-2</v>
      </c>
      <c r="U444" s="68">
        <f t="shared" si="6"/>
        <v>4145.6632</v>
      </c>
    </row>
    <row r="445" spans="1:21" s="41" customFormat="1" ht="13.8" x14ac:dyDescent="0.3">
      <c r="A445" s="115" t="s">
        <v>21</v>
      </c>
      <c r="B445" s="116">
        <v>2000078930</v>
      </c>
      <c r="C445" s="116">
        <v>13.01</v>
      </c>
      <c r="D445" s="117">
        <v>46.3</v>
      </c>
      <c r="E445" s="117"/>
      <c r="F445" s="117">
        <v>225</v>
      </c>
      <c r="G445" s="117">
        <v>825</v>
      </c>
      <c r="H445" s="123"/>
      <c r="I445" s="117" t="s">
        <v>122</v>
      </c>
      <c r="J445" s="115">
        <v>377</v>
      </c>
      <c r="K445" s="115" t="s">
        <v>23</v>
      </c>
      <c r="L445" s="117" t="s">
        <v>24</v>
      </c>
      <c r="M445" s="66">
        <v>216806</v>
      </c>
      <c r="N445" s="66">
        <v>4684</v>
      </c>
      <c r="O445" s="66">
        <v>73714</v>
      </c>
      <c r="P445" s="66">
        <v>290520</v>
      </c>
      <c r="Q445" s="67">
        <v>0.4</v>
      </c>
      <c r="R445" s="66">
        <v>116208</v>
      </c>
      <c r="S445" s="66">
        <v>406728</v>
      </c>
      <c r="T445" s="106">
        <f>IF(A445="Upgrade",IF(OR(H445=4,H445=5),_xlfn.XLOOKUP(I445,'Renewal Rates'!$A$22:$A$27,'Renewal Rates'!$B$22:$B$27,'Renewal Rates'!$B$27,0),'Renewal Rates'!$F$7),IF(A445="Renewal",100%,0%))</f>
        <v>2.6599999999999999E-2</v>
      </c>
      <c r="U445" s="68">
        <f t="shared" si="6"/>
        <v>10818.9648</v>
      </c>
    </row>
    <row r="446" spans="1:21" s="41" customFormat="1" ht="13.8" x14ac:dyDescent="0.3">
      <c r="A446" s="115" t="s">
        <v>21</v>
      </c>
      <c r="B446" s="116">
        <v>2000286910</v>
      </c>
      <c r="C446" s="116">
        <v>13.01</v>
      </c>
      <c r="D446" s="117">
        <v>7.3</v>
      </c>
      <c r="E446" s="117"/>
      <c r="F446" s="117">
        <v>225</v>
      </c>
      <c r="G446" s="117">
        <v>825</v>
      </c>
      <c r="H446" s="123"/>
      <c r="I446" s="117" t="s">
        <v>122</v>
      </c>
      <c r="J446" s="115">
        <v>377</v>
      </c>
      <c r="K446" s="115" t="s">
        <v>23</v>
      </c>
      <c r="L446" s="117" t="s">
        <v>24</v>
      </c>
      <c r="M446" s="66">
        <v>60169</v>
      </c>
      <c r="N446" s="66">
        <v>8270</v>
      </c>
      <c r="O446" s="66">
        <v>20457</v>
      </c>
      <c r="P446" s="66">
        <v>80626</v>
      </c>
      <c r="Q446" s="67">
        <v>0.4</v>
      </c>
      <c r="R446" s="66">
        <v>32250</v>
      </c>
      <c r="S446" s="66">
        <v>112876</v>
      </c>
      <c r="T446" s="106">
        <f>IF(A446="Upgrade",IF(OR(H446=4,H446=5),_xlfn.XLOOKUP(I446,'Renewal Rates'!$A$22:$A$27,'Renewal Rates'!$B$22:$B$27,'Renewal Rates'!$B$27,0),'Renewal Rates'!$F$7),IF(A446="Renewal",100%,0%))</f>
        <v>2.6599999999999999E-2</v>
      </c>
      <c r="U446" s="68">
        <f t="shared" si="6"/>
        <v>3002.5016000000001</v>
      </c>
    </row>
    <row r="447" spans="1:21" s="41" customFormat="1" ht="13.8" x14ac:dyDescent="0.3">
      <c r="A447" s="115" t="s">
        <v>21</v>
      </c>
      <c r="B447" s="116">
        <v>2000424541</v>
      </c>
      <c r="C447" s="116">
        <v>13.01</v>
      </c>
      <c r="D447" s="117">
        <v>11.7</v>
      </c>
      <c r="E447" s="117"/>
      <c r="F447" s="117">
        <v>225</v>
      </c>
      <c r="G447" s="117">
        <v>825</v>
      </c>
      <c r="H447" s="123"/>
      <c r="I447" s="117" t="s">
        <v>122</v>
      </c>
      <c r="J447" s="115">
        <v>377</v>
      </c>
      <c r="K447" s="115" t="s">
        <v>23</v>
      </c>
      <c r="L447" s="117" t="s">
        <v>24</v>
      </c>
      <c r="M447" s="66">
        <v>86337</v>
      </c>
      <c r="N447" s="66">
        <v>7384</v>
      </c>
      <c r="O447" s="66">
        <v>29355</v>
      </c>
      <c r="P447" s="66">
        <v>115692</v>
      </c>
      <c r="Q447" s="67">
        <v>0.4</v>
      </c>
      <c r="R447" s="66">
        <v>46277</v>
      </c>
      <c r="S447" s="66">
        <v>161969</v>
      </c>
      <c r="T447" s="106">
        <f>IF(A447="Upgrade",IF(OR(H447=4,H447=5),_xlfn.XLOOKUP(I447,'Renewal Rates'!$A$22:$A$27,'Renewal Rates'!$B$22:$B$27,'Renewal Rates'!$B$27,0),'Renewal Rates'!$F$7),IF(A447="Renewal",100%,0%))</f>
        <v>2.6599999999999999E-2</v>
      </c>
      <c r="U447" s="68">
        <f t="shared" si="6"/>
        <v>4308.3753999999999</v>
      </c>
    </row>
    <row r="448" spans="1:21" s="41" customFormat="1" ht="13.8" x14ac:dyDescent="0.3">
      <c r="A448" s="115" t="s">
        <v>25</v>
      </c>
      <c r="B448" s="116" t="s">
        <v>22</v>
      </c>
      <c r="C448" s="116">
        <v>13.000999999999999</v>
      </c>
      <c r="D448" s="117"/>
      <c r="E448" s="117">
        <v>80.400000000000006</v>
      </c>
      <c r="F448" s="117"/>
      <c r="G448" s="117">
        <v>600</v>
      </c>
      <c r="H448" s="123"/>
      <c r="I448" s="117" t="s">
        <v>122</v>
      </c>
      <c r="J448" s="115">
        <v>368</v>
      </c>
      <c r="K448" s="115" t="s">
        <v>23</v>
      </c>
      <c r="L448" s="117" t="s">
        <v>24</v>
      </c>
      <c r="M448" s="66">
        <v>277995</v>
      </c>
      <c r="N448" s="66">
        <v>3459</v>
      </c>
      <c r="O448" s="66">
        <v>94518</v>
      </c>
      <c r="P448" s="66">
        <v>372513</v>
      </c>
      <c r="Q448" s="67">
        <v>0.4</v>
      </c>
      <c r="R448" s="66">
        <v>149005</v>
      </c>
      <c r="S448" s="66">
        <v>521519</v>
      </c>
      <c r="T448" s="106">
        <f>IF(A448="Upgrade",IF(OR(H448=4,H448=5),_xlfn.XLOOKUP(I448,'Renewal Rates'!$A$22:$A$27,'Renewal Rates'!$B$22:$B$27,'Renewal Rates'!$B$27,0),'Renewal Rates'!$F$7),IF(A448="Renewal",100%,0%))</f>
        <v>0</v>
      </c>
      <c r="U448" s="68">
        <f t="shared" si="6"/>
        <v>0</v>
      </c>
    </row>
    <row r="449" spans="1:21" s="41" customFormat="1" ht="13.8" x14ac:dyDescent="0.3">
      <c r="A449" s="115" t="s">
        <v>25</v>
      </c>
      <c r="B449" s="116" t="s">
        <v>22</v>
      </c>
      <c r="C449" s="116">
        <v>13.002000000000001</v>
      </c>
      <c r="D449" s="117"/>
      <c r="E449" s="117">
        <v>22.8</v>
      </c>
      <c r="F449" s="117"/>
      <c r="G449" s="117">
        <v>450</v>
      </c>
      <c r="H449" s="123"/>
      <c r="I449" s="117" t="s">
        <v>122</v>
      </c>
      <c r="J449" s="115">
        <v>368</v>
      </c>
      <c r="K449" s="115" t="s">
        <v>23</v>
      </c>
      <c r="L449" s="117" t="s">
        <v>24</v>
      </c>
      <c r="M449" s="66">
        <v>96486</v>
      </c>
      <c r="N449" s="66">
        <v>4225</v>
      </c>
      <c r="O449" s="66">
        <v>32805</v>
      </c>
      <c r="P449" s="66">
        <v>129291</v>
      </c>
      <c r="Q449" s="67">
        <v>0.4</v>
      </c>
      <c r="R449" s="66">
        <v>51717</v>
      </c>
      <c r="S449" s="66">
        <v>181008</v>
      </c>
      <c r="T449" s="106">
        <f>IF(A449="Upgrade",IF(OR(H449=4,H449=5),_xlfn.XLOOKUP(I449,'Renewal Rates'!$A$22:$A$27,'Renewal Rates'!$B$22:$B$27,'Renewal Rates'!$B$27,0),'Renewal Rates'!$F$7),IF(A449="Renewal",100%,0%))</f>
        <v>0</v>
      </c>
      <c r="U449" s="68">
        <f t="shared" si="6"/>
        <v>0</v>
      </c>
    </row>
    <row r="450" spans="1:21" s="41" customFormat="1" ht="13.8" x14ac:dyDescent="0.3">
      <c r="A450" s="115" t="s">
        <v>21</v>
      </c>
      <c r="B450" s="116">
        <v>2000588374</v>
      </c>
      <c r="C450" s="116">
        <v>14.003</v>
      </c>
      <c r="D450" s="117">
        <v>9</v>
      </c>
      <c r="E450" s="117"/>
      <c r="F450" s="117">
        <v>300</v>
      </c>
      <c r="G450" s="117">
        <v>825</v>
      </c>
      <c r="H450" s="123"/>
      <c r="I450" s="117" t="s">
        <v>122</v>
      </c>
      <c r="J450" s="115">
        <v>375</v>
      </c>
      <c r="K450" s="115" t="s">
        <v>23</v>
      </c>
      <c r="L450" s="117" t="s">
        <v>24</v>
      </c>
      <c r="M450" s="66">
        <v>105619</v>
      </c>
      <c r="N450" s="66">
        <v>11748</v>
      </c>
      <c r="O450" s="66">
        <v>35910</v>
      </c>
      <c r="P450" s="66">
        <v>141529</v>
      </c>
      <c r="Q450" s="67">
        <v>0.4</v>
      </c>
      <c r="R450" s="66">
        <v>56612</v>
      </c>
      <c r="S450" s="66">
        <v>198141</v>
      </c>
      <c r="T450" s="106">
        <f>IF(A450="Upgrade",IF(OR(H450=4,H450=5),_xlfn.XLOOKUP(I450,'Renewal Rates'!$A$22:$A$27,'Renewal Rates'!$B$22:$B$27,'Renewal Rates'!$B$27,0),'Renewal Rates'!$F$7),IF(A450="Renewal",100%,0%))</f>
        <v>2.6599999999999999E-2</v>
      </c>
      <c r="U450" s="68">
        <f t="shared" si="6"/>
        <v>5270.5505999999996</v>
      </c>
    </row>
    <row r="451" spans="1:21" s="41" customFormat="1" ht="13.8" x14ac:dyDescent="0.3">
      <c r="A451" s="115" t="s">
        <v>21</v>
      </c>
      <c r="B451" s="116">
        <v>3000108330</v>
      </c>
      <c r="C451" s="116">
        <v>14.003</v>
      </c>
      <c r="D451" s="117">
        <v>43.9</v>
      </c>
      <c r="E451" s="117"/>
      <c r="F451" s="117">
        <v>375</v>
      </c>
      <c r="G451" s="117">
        <v>825</v>
      </c>
      <c r="H451" s="123">
        <v>4</v>
      </c>
      <c r="I451" s="117">
        <v>2</v>
      </c>
      <c r="J451" s="115">
        <v>375</v>
      </c>
      <c r="K451" s="115" t="s">
        <v>23</v>
      </c>
      <c r="L451" s="117" t="s">
        <v>24</v>
      </c>
      <c r="M451" s="66">
        <v>213179</v>
      </c>
      <c r="N451" s="66">
        <v>4855</v>
      </c>
      <c r="O451" s="66">
        <v>72481</v>
      </c>
      <c r="P451" s="66">
        <v>285659</v>
      </c>
      <c r="Q451" s="67">
        <v>0.4</v>
      </c>
      <c r="R451" s="66">
        <v>114264</v>
      </c>
      <c r="S451" s="66">
        <v>399923</v>
      </c>
      <c r="T451" s="106">
        <f>IF(A451="Upgrade",IF(OR(H451=4,H451=5),_xlfn.XLOOKUP(I451,'Renewal Rates'!$A$22:$A$27,'Renewal Rates'!$B$22:$B$27,'Renewal Rates'!$B$27,0),'Renewal Rates'!$F$7),IF(A451="Renewal",100%,0%))</f>
        <v>0</v>
      </c>
      <c r="U451" s="68">
        <f t="shared" si="6"/>
        <v>0</v>
      </c>
    </row>
    <row r="452" spans="1:21" s="41" customFormat="1" ht="13.8" x14ac:dyDescent="0.3">
      <c r="A452" s="115" t="s">
        <v>21</v>
      </c>
      <c r="B452" s="116">
        <v>2000505338</v>
      </c>
      <c r="C452" s="116">
        <v>14.003</v>
      </c>
      <c r="D452" s="117">
        <v>56.4</v>
      </c>
      <c r="E452" s="117"/>
      <c r="F452" s="117">
        <v>300</v>
      </c>
      <c r="G452" s="117">
        <v>825</v>
      </c>
      <c r="H452" s="123">
        <v>5</v>
      </c>
      <c r="I452" s="117">
        <v>4</v>
      </c>
      <c r="J452" s="115">
        <v>375</v>
      </c>
      <c r="K452" s="115" t="s">
        <v>23</v>
      </c>
      <c r="L452" s="117" t="s">
        <v>24</v>
      </c>
      <c r="M452" s="66">
        <v>275658</v>
      </c>
      <c r="N452" s="66">
        <v>4889</v>
      </c>
      <c r="O452" s="66">
        <v>93724</v>
      </c>
      <c r="P452" s="66">
        <v>369382</v>
      </c>
      <c r="Q452" s="67">
        <v>0.4</v>
      </c>
      <c r="R452" s="66">
        <v>147753</v>
      </c>
      <c r="S452" s="66">
        <v>517134</v>
      </c>
      <c r="T452" s="106">
        <f>IF(A452="Upgrade",IF(OR(H452=4,H452=5),_xlfn.XLOOKUP(I452,'Renewal Rates'!$A$22:$A$27,'Renewal Rates'!$B$22:$B$27,'Renewal Rates'!$B$27,0),'Renewal Rates'!$F$7),IF(A452="Renewal",100%,0%))</f>
        <v>0.7</v>
      </c>
      <c r="U452" s="68">
        <f t="shared" ref="U452:U515" si="7">S452*T452</f>
        <v>361993.8</v>
      </c>
    </row>
    <row r="453" spans="1:21" s="41" customFormat="1" ht="13.8" x14ac:dyDescent="0.3">
      <c r="A453" s="115" t="s">
        <v>21</v>
      </c>
      <c r="B453" s="116">
        <v>2000475412</v>
      </c>
      <c r="C453" s="116">
        <v>14.002000000000001</v>
      </c>
      <c r="D453" s="117">
        <v>9</v>
      </c>
      <c r="E453" s="117"/>
      <c r="F453" s="117">
        <v>300</v>
      </c>
      <c r="G453" s="117">
        <v>525</v>
      </c>
      <c r="H453" s="123"/>
      <c r="I453" s="117" t="s">
        <v>122</v>
      </c>
      <c r="J453" s="115">
        <v>374</v>
      </c>
      <c r="K453" s="115" t="s">
        <v>23</v>
      </c>
      <c r="L453" s="117" t="s">
        <v>24</v>
      </c>
      <c r="M453" s="66">
        <v>51819</v>
      </c>
      <c r="N453" s="66">
        <v>5731</v>
      </c>
      <c r="O453" s="66">
        <v>17619</v>
      </c>
      <c r="P453" s="66">
        <v>69438</v>
      </c>
      <c r="Q453" s="67">
        <v>0.4</v>
      </c>
      <c r="R453" s="66">
        <v>27775</v>
      </c>
      <c r="S453" s="66">
        <v>97213</v>
      </c>
      <c r="T453" s="106">
        <f>IF(A453="Upgrade",IF(OR(H453=4,H453=5),_xlfn.XLOOKUP(I453,'Renewal Rates'!$A$22:$A$27,'Renewal Rates'!$B$22:$B$27,'Renewal Rates'!$B$27,0),'Renewal Rates'!$F$7),IF(A453="Renewal",100%,0%))</f>
        <v>2.6599999999999999E-2</v>
      </c>
      <c r="U453" s="68">
        <f t="shared" si="7"/>
        <v>2585.8658</v>
      </c>
    </row>
    <row r="454" spans="1:21" s="41" customFormat="1" ht="13.8" x14ac:dyDescent="0.3">
      <c r="A454" s="115" t="s">
        <v>21</v>
      </c>
      <c r="B454" s="116">
        <v>2000144611</v>
      </c>
      <c r="C454" s="116">
        <v>14.002000000000001</v>
      </c>
      <c r="D454" s="117">
        <v>47.2</v>
      </c>
      <c r="E454" s="117"/>
      <c r="F454" s="117">
        <v>300</v>
      </c>
      <c r="G454" s="117">
        <v>525</v>
      </c>
      <c r="H454" s="123"/>
      <c r="I454" s="117" t="s">
        <v>122</v>
      </c>
      <c r="J454" s="115">
        <v>374</v>
      </c>
      <c r="K454" s="115" t="s">
        <v>23</v>
      </c>
      <c r="L454" s="117" t="s">
        <v>24</v>
      </c>
      <c r="M454" s="66">
        <v>143420</v>
      </c>
      <c r="N454" s="66">
        <v>3040</v>
      </c>
      <c r="O454" s="66">
        <v>48763</v>
      </c>
      <c r="P454" s="66">
        <v>192183</v>
      </c>
      <c r="Q454" s="67">
        <v>0.4</v>
      </c>
      <c r="R454" s="66">
        <v>76873</v>
      </c>
      <c r="S454" s="66">
        <v>269056</v>
      </c>
      <c r="T454" s="106">
        <f>IF(A454="Upgrade",IF(OR(H454=4,H454=5),_xlfn.XLOOKUP(I454,'Renewal Rates'!$A$22:$A$27,'Renewal Rates'!$B$22:$B$27,'Renewal Rates'!$B$27,0),'Renewal Rates'!$F$7),IF(A454="Renewal",100%,0%))</f>
        <v>2.6599999999999999E-2</v>
      </c>
      <c r="U454" s="68">
        <f t="shared" si="7"/>
        <v>7156.8895999999995</v>
      </c>
    </row>
    <row r="455" spans="1:21" s="41" customFormat="1" ht="13.8" x14ac:dyDescent="0.3">
      <c r="A455" s="115" t="s">
        <v>21</v>
      </c>
      <c r="B455" s="116">
        <v>2000713213</v>
      </c>
      <c r="C455" s="116">
        <v>14.002000000000001</v>
      </c>
      <c r="D455" s="117">
        <v>9.1</v>
      </c>
      <c r="E455" s="117"/>
      <c r="F455" s="117">
        <v>225</v>
      </c>
      <c r="G455" s="117">
        <v>525</v>
      </c>
      <c r="H455" s="123"/>
      <c r="I455" s="117" t="s">
        <v>122</v>
      </c>
      <c r="J455" s="115">
        <v>374</v>
      </c>
      <c r="K455" s="115" t="s">
        <v>23</v>
      </c>
      <c r="L455" s="117" t="s">
        <v>24</v>
      </c>
      <c r="M455" s="66">
        <v>51833</v>
      </c>
      <c r="N455" s="66">
        <v>5723</v>
      </c>
      <c r="O455" s="66">
        <v>17623</v>
      </c>
      <c r="P455" s="66">
        <v>69456</v>
      </c>
      <c r="Q455" s="67">
        <v>0.4</v>
      </c>
      <c r="R455" s="66">
        <v>27782</v>
      </c>
      <c r="S455" s="66">
        <v>97238</v>
      </c>
      <c r="T455" s="106">
        <f>IF(A455="Upgrade",IF(OR(H455=4,H455=5),_xlfn.XLOOKUP(I455,'Renewal Rates'!$A$22:$A$27,'Renewal Rates'!$B$22:$B$27,'Renewal Rates'!$B$27,0),'Renewal Rates'!$F$7),IF(A455="Renewal",100%,0%))</f>
        <v>2.6599999999999999E-2</v>
      </c>
      <c r="U455" s="68">
        <f t="shared" si="7"/>
        <v>2586.5308</v>
      </c>
    </row>
    <row r="456" spans="1:21" s="41" customFormat="1" ht="13.8" x14ac:dyDescent="0.3">
      <c r="A456" s="115" t="s">
        <v>21</v>
      </c>
      <c r="B456" s="116">
        <v>2000333191</v>
      </c>
      <c r="C456" s="116">
        <v>14.002000000000001</v>
      </c>
      <c r="D456" s="117">
        <v>24.4</v>
      </c>
      <c r="E456" s="117"/>
      <c r="F456" s="117">
        <v>225</v>
      </c>
      <c r="G456" s="117">
        <v>525</v>
      </c>
      <c r="H456" s="123"/>
      <c r="I456" s="117" t="s">
        <v>122</v>
      </c>
      <c r="J456" s="115">
        <v>374</v>
      </c>
      <c r="K456" s="115" t="s">
        <v>23</v>
      </c>
      <c r="L456" s="117" t="s">
        <v>24</v>
      </c>
      <c r="M456" s="66">
        <v>84635</v>
      </c>
      <c r="N456" s="66">
        <v>3473</v>
      </c>
      <c r="O456" s="66">
        <v>28776</v>
      </c>
      <c r="P456" s="66">
        <v>113411</v>
      </c>
      <c r="Q456" s="67">
        <v>0.4</v>
      </c>
      <c r="R456" s="66">
        <v>45365</v>
      </c>
      <c r="S456" s="66">
        <v>158776</v>
      </c>
      <c r="T456" s="106">
        <f>IF(A456="Upgrade",IF(OR(H456=4,H456=5),_xlfn.XLOOKUP(I456,'Renewal Rates'!$A$22:$A$27,'Renewal Rates'!$B$22:$B$27,'Renewal Rates'!$B$27,0),'Renewal Rates'!$F$7),IF(A456="Renewal",100%,0%))</f>
        <v>2.6599999999999999E-2</v>
      </c>
      <c r="U456" s="68">
        <f t="shared" si="7"/>
        <v>4223.4416000000001</v>
      </c>
    </row>
    <row r="457" spans="1:21" s="41" customFormat="1" ht="13.8" x14ac:dyDescent="0.3">
      <c r="A457" s="115" t="s">
        <v>21</v>
      </c>
      <c r="B457" s="116">
        <v>2000958343</v>
      </c>
      <c r="C457" s="116">
        <v>14.000999999999999</v>
      </c>
      <c r="D457" s="117">
        <v>11.7</v>
      </c>
      <c r="E457" s="117"/>
      <c r="F457" s="117">
        <v>450</v>
      </c>
      <c r="G457" s="117">
        <v>675</v>
      </c>
      <c r="H457" s="123"/>
      <c r="I457" s="117" t="s">
        <v>122</v>
      </c>
      <c r="J457" s="115">
        <v>375</v>
      </c>
      <c r="K457" s="115" t="s">
        <v>23</v>
      </c>
      <c r="L457" s="117" t="s">
        <v>24</v>
      </c>
      <c r="M457" s="66">
        <v>106818</v>
      </c>
      <c r="N457" s="66">
        <v>9150</v>
      </c>
      <c r="O457" s="66">
        <v>36318</v>
      </c>
      <c r="P457" s="66">
        <v>143136</v>
      </c>
      <c r="Q457" s="67">
        <v>0.4</v>
      </c>
      <c r="R457" s="66">
        <v>57255</v>
      </c>
      <c r="S457" s="66">
        <v>200391</v>
      </c>
      <c r="T457" s="106">
        <f>IF(A457="Upgrade",IF(OR(H457=4,H457=5),_xlfn.XLOOKUP(I457,'Renewal Rates'!$A$22:$A$27,'Renewal Rates'!$B$22:$B$27,'Renewal Rates'!$B$27,0),'Renewal Rates'!$F$7),IF(A457="Renewal",100%,0%))</f>
        <v>2.6599999999999999E-2</v>
      </c>
      <c r="U457" s="68">
        <f t="shared" si="7"/>
        <v>5330.4005999999999</v>
      </c>
    </row>
    <row r="458" spans="1:21" s="41" customFormat="1" ht="13.8" x14ac:dyDescent="0.3">
      <c r="A458" s="115" t="s">
        <v>21</v>
      </c>
      <c r="B458" s="116">
        <v>2000505072</v>
      </c>
      <c r="C458" s="116">
        <v>14.000999999999999</v>
      </c>
      <c r="D458" s="117">
        <v>26.3</v>
      </c>
      <c r="E458" s="117"/>
      <c r="F458" s="117">
        <v>450</v>
      </c>
      <c r="G458" s="117">
        <v>675</v>
      </c>
      <c r="H458" s="123">
        <v>4</v>
      </c>
      <c r="I458" s="117">
        <v>4</v>
      </c>
      <c r="J458" s="115">
        <v>375</v>
      </c>
      <c r="K458" s="115" t="s">
        <v>23</v>
      </c>
      <c r="L458" s="117" t="s">
        <v>24</v>
      </c>
      <c r="M458" s="66">
        <v>120295</v>
      </c>
      <c r="N458" s="66">
        <v>4583</v>
      </c>
      <c r="O458" s="66">
        <v>40900</v>
      </c>
      <c r="P458" s="66">
        <v>161196</v>
      </c>
      <c r="Q458" s="67">
        <v>0.4</v>
      </c>
      <c r="R458" s="66">
        <v>64478</v>
      </c>
      <c r="S458" s="66">
        <v>225674</v>
      </c>
      <c r="T458" s="106">
        <f>IF(A458="Upgrade",IF(OR(H458=4,H458=5),_xlfn.XLOOKUP(I458,'Renewal Rates'!$A$22:$A$27,'Renewal Rates'!$B$22:$B$27,'Renewal Rates'!$B$27,0),'Renewal Rates'!$F$7),IF(A458="Renewal",100%,0%))</f>
        <v>0.7</v>
      </c>
      <c r="U458" s="68">
        <f t="shared" si="7"/>
        <v>157971.79999999999</v>
      </c>
    </row>
    <row r="459" spans="1:21" s="41" customFormat="1" ht="13.8" x14ac:dyDescent="0.3">
      <c r="A459" s="115" t="s">
        <v>21</v>
      </c>
      <c r="B459" s="116">
        <v>2000104922</v>
      </c>
      <c r="C459" s="116">
        <v>14.000999999999999</v>
      </c>
      <c r="D459" s="117">
        <v>7.4</v>
      </c>
      <c r="E459" s="117"/>
      <c r="F459" s="117">
        <v>450</v>
      </c>
      <c r="G459" s="117">
        <v>675</v>
      </c>
      <c r="H459" s="123">
        <v>5</v>
      </c>
      <c r="I459" s="117">
        <v>2</v>
      </c>
      <c r="J459" s="115">
        <v>375</v>
      </c>
      <c r="K459" s="115" t="s">
        <v>23</v>
      </c>
      <c r="L459" s="117" t="s">
        <v>24</v>
      </c>
      <c r="M459" s="66">
        <v>58844</v>
      </c>
      <c r="N459" s="66">
        <v>7972</v>
      </c>
      <c r="O459" s="66">
        <v>20007</v>
      </c>
      <c r="P459" s="66">
        <v>78851</v>
      </c>
      <c r="Q459" s="67">
        <v>0.4</v>
      </c>
      <c r="R459" s="66">
        <v>31541</v>
      </c>
      <c r="S459" s="66">
        <v>110392</v>
      </c>
      <c r="T459" s="106">
        <f>IF(A459="Upgrade",IF(OR(H459=4,H459=5),_xlfn.XLOOKUP(I459,'Renewal Rates'!$A$22:$A$27,'Renewal Rates'!$B$22:$B$27,'Renewal Rates'!$B$27,0),'Renewal Rates'!$F$7),IF(A459="Renewal",100%,0%))</f>
        <v>0</v>
      </c>
      <c r="U459" s="68">
        <f t="shared" si="7"/>
        <v>0</v>
      </c>
    </row>
    <row r="460" spans="1:21" s="41" customFormat="1" ht="13.8" x14ac:dyDescent="0.3">
      <c r="A460" s="115" t="s">
        <v>21</v>
      </c>
      <c r="B460" s="116">
        <v>3000174543</v>
      </c>
      <c r="C460" s="116">
        <v>14.000999999999999</v>
      </c>
      <c r="D460" s="117">
        <v>82.5</v>
      </c>
      <c r="E460" s="117"/>
      <c r="F460" s="117">
        <v>450</v>
      </c>
      <c r="G460" s="117">
        <v>675</v>
      </c>
      <c r="H460" s="123"/>
      <c r="I460" s="117" t="s">
        <v>122</v>
      </c>
      <c r="J460" s="115">
        <v>375</v>
      </c>
      <c r="K460" s="115" t="s">
        <v>23</v>
      </c>
      <c r="L460" s="117" t="s">
        <v>24</v>
      </c>
      <c r="M460" s="66">
        <v>309695</v>
      </c>
      <c r="N460" s="66">
        <v>3756</v>
      </c>
      <c r="O460" s="66">
        <v>105296</v>
      </c>
      <c r="P460" s="66">
        <v>414991</v>
      </c>
      <c r="Q460" s="67">
        <v>0.4</v>
      </c>
      <c r="R460" s="66">
        <v>165996</v>
      </c>
      <c r="S460" s="66">
        <v>580987</v>
      </c>
      <c r="T460" s="106">
        <f>IF(A460="Upgrade",IF(OR(H460=4,H460=5),_xlfn.XLOOKUP(I460,'Renewal Rates'!$A$22:$A$27,'Renewal Rates'!$B$22:$B$27,'Renewal Rates'!$B$27,0),'Renewal Rates'!$F$7),IF(A460="Renewal",100%,0%))</f>
        <v>2.6599999999999999E-2</v>
      </c>
      <c r="U460" s="68">
        <f t="shared" si="7"/>
        <v>15454.254199999999</v>
      </c>
    </row>
    <row r="461" spans="1:21" s="41" customFormat="1" ht="13.8" x14ac:dyDescent="0.3">
      <c r="A461" s="115" t="s">
        <v>21</v>
      </c>
      <c r="B461" s="116">
        <v>2000117769</v>
      </c>
      <c r="C461" s="116">
        <v>14.007999999999999</v>
      </c>
      <c r="D461" s="117">
        <v>49.8</v>
      </c>
      <c r="E461" s="117"/>
      <c r="F461" s="117">
        <v>1200</v>
      </c>
      <c r="G461" s="117">
        <v>1800</v>
      </c>
      <c r="H461" s="123">
        <v>4</v>
      </c>
      <c r="I461" s="117">
        <v>2</v>
      </c>
      <c r="J461" s="115">
        <v>375</v>
      </c>
      <c r="K461" s="115" t="s">
        <v>23</v>
      </c>
      <c r="L461" s="117" t="s">
        <v>24</v>
      </c>
      <c r="M461" s="66">
        <v>527261</v>
      </c>
      <c r="N461" s="66">
        <v>10588</v>
      </c>
      <c r="O461" s="66">
        <v>179269</v>
      </c>
      <c r="P461" s="66">
        <v>706530</v>
      </c>
      <c r="Q461" s="67">
        <v>0.4</v>
      </c>
      <c r="R461" s="66">
        <v>282612</v>
      </c>
      <c r="S461" s="66">
        <v>989142</v>
      </c>
      <c r="T461" s="106">
        <f>IF(A461="Upgrade",IF(OR(H461=4,H461=5),_xlfn.XLOOKUP(I461,'Renewal Rates'!$A$22:$A$27,'Renewal Rates'!$B$22:$B$27,'Renewal Rates'!$B$27,0),'Renewal Rates'!$F$7),IF(A461="Renewal",100%,0%))</f>
        <v>0</v>
      </c>
      <c r="U461" s="68">
        <f t="shared" si="7"/>
        <v>0</v>
      </c>
    </row>
    <row r="462" spans="1:21" s="41" customFormat="1" ht="13.8" x14ac:dyDescent="0.3">
      <c r="A462" s="115" t="s">
        <v>21</v>
      </c>
      <c r="B462" s="116">
        <v>2000797533</v>
      </c>
      <c r="C462" s="116">
        <v>14.007999999999999</v>
      </c>
      <c r="D462" s="117">
        <v>55.6</v>
      </c>
      <c r="E462" s="117"/>
      <c r="F462" s="117">
        <v>1354</v>
      </c>
      <c r="G462" s="117">
        <v>1800</v>
      </c>
      <c r="H462" s="123">
        <v>5</v>
      </c>
      <c r="I462" s="117">
        <v>3</v>
      </c>
      <c r="J462" s="115">
        <v>375</v>
      </c>
      <c r="K462" s="115" t="s">
        <v>23</v>
      </c>
      <c r="L462" s="117" t="s">
        <v>24</v>
      </c>
      <c r="M462" s="66">
        <v>588792</v>
      </c>
      <c r="N462" s="66">
        <v>10598</v>
      </c>
      <c r="O462" s="66">
        <v>200189</v>
      </c>
      <c r="P462" s="66">
        <v>788982</v>
      </c>
      <c r="Q462" s="67">
        <v>0.4</v>
      </c>
      <c r="R462" s="66">
        <v>315593</v>
      </c>
      <c r="S462" s="66">
        <v>1104575</v>
      </c>
      <c r="T462" s="106">
        <f>IF(A462="Upgrade",IF(OR(H462=4,H462=5),_xlfn.XLOOKUP(I462,'Renewal Rates'!$A$22:$A$27,'Renewal Rates'!$B$22:$B$27,'Renewal Rates'!$B$27,0),'Renewal Rates'!$F$7),IF(A462="Renewal",100%,0%))</f>
        <v>0.21</v>
      </c>
      <c r="U462" s="68">
        <f t="shared" si="7"/>
        <v>231960.75</v>
      </c>
    </row>
    <row r="463" spans="1:21" s="41" customFormat="1" ht="13.8" x14ac:dyDescent="0.3">
      <c r="A463" s="115" t="s">
        <v>21</v>
      </c>
      <c r="B463" s="116">
        <v>2000725176</v>
      </c>
      <c r="C463" s="116">
        <v>14.007999999999999</v>
      </c>
      <c r="D463" s="117">
        <v>24.7</v>
      </c>
      <c r="E463" s="117"/>
      <c r="F463" s="117">
        <v>1200</v>
      </c>
      <c r="G463" s="117">
        <v>1800</v>
      </c>
      <c r="H463" s="123">
        <v>5</v>
      </c>
      <c r="I463" s="117">
        <v>1</v>
      </c>
      <c r="J463" s="115">
        <v>375</v>
      </c>
      <c r="K463" s="115" t="s">
        <v>23</v>
      </c>
      <c r="L463" s="117" t="s">
        <v>24</v>
      </c>
      <c r="M463" s="66">
        <v>274477</v>
      </c>
      <c r="N463" s="66">
        <v>11093</v>
      </c>
      <c r="O463" s="66">
        <v>93322</v>
      </c>
      <c r="P463" s="66">
        <v>367799</v>
      </c>
      <c r="Q463" s="67">
        <v>0.4</v>
      </c>
      <c r="R463" s="66">
        <v>147120</v>
      </c>
      <c r="S463" s="66">
        <v>514919</v>
      </c>
      <c r="T463" s="106">
        <f>IF(A463="Upgrade",IF(OR(H463=4,H463=5),_xlfn.XLOOKUP(I463,'Renewal Rates'!$A$22:$A$27,'Renewal Rates'!$B$22:$B$27,'Renewal Rates'!$B$27,0),'Renewal Rates'!$F$7),IF(A463="Renewal",100%,0%))</f>
        <v>0</v>
      </c>
      <c r="U463" s="68">
        <f t="shared" si="7"/>
        <v>0</v>
      </c>
    </row>
    <row r="464" spans="1:21" s="41" customFormat="1" ht="13.8" x14ac:dyDescent="0.3">
      <c r="A464" s="115" t="s">
        <v>21</v>
      </c>
      <c r="B464" s="116">
        <v>2000077747</v>
      </c>
      <c r="C464" s="116">
        <v>14.007999999999999</v>
      </c>
      <c r="D464" s="117">
        <v>39.1</v>
      </c>
      <c r="E464" s="117"/>
      <c r="F464" s="117">
        <v>1650</v>
      </c>
      <c r="G464" s="117">
        <v>1800</v>
      </c>
      <c r="H464" s="123">
        <v>5</v>
      </c>
      <c r="I464" s="117">
        <v>1</v>
      </c>
      <c r="J464" s="115">
        <v>375</v>
      </c>
      <c r="K464" s="115" t="s">
        <v>23</v>
      </c>
      <c r="L464" s="117" t="s">
        <v>24</v>
      </c>
      <c r="M464" s="66">
        <v>419087</v>
      </c>
      <c r="N464" s="66">
        <v>10717</v>
      </c>
      <c r="O464" s="66">
        <v>142490</v>
      </c>
      <c r="P464" s="66">
        <v>561577</v>
      </c>
      <c r="Q464" s="67">
        <v>0.4</v>
      </c>
      <c r="R464" s="66">
        <v>224631</v>
      </c>
      <c r="S464" s="66">
        <v>786207</v>
      </c>
      <c r="T464" s="106">
        <f>IF(A464="Upgrade",IF(OR(H464=4,H464=5),_xlfn.XLOOKUP(I464,'Renewal Rates'!$A$22:$A$27,'Renewal Rates'!$B$22:$B$27,'Renewal Rates'!$B$27,0),'Renewal Rates'!$F$7),IF(A464="Renewal",100%,0%))</f>
        <v>0</v>
      </c>
      <c r="U464" s="68">
        <f t="shared" si="7"/>
        <v>0</v>
      </c>
    </row>
    <row r="465" spans="1:21" s="41" customFormat="1" ht="13.8" x14ac:dyDescent="0.3">
      <c r="A465" s="115" t="s">
        <v>21</v>
      </c>
      <c r="B465" s="116">
        <v>2000319538</v>
      </c>
      <c r="C465" s="116">
        <v>14.007999999999999</v>
      </c>
      <c r="D465" s="117">
        <v>18.899999999999999</v>
      </c>
      <c r="E465" s="117"/>
      <c r="F465" s="117">
        <v>1450</v>
      </c>
      <c r="G465" s="117">
        <v>1800</v>
      </c>
      <c r="H465" s="123">
        <v>5</v>
      </c>
      <c r="I465" s="117">
        <v>3</v>
      </c>
      <c r="J465" s="115">
        <v>375</v>
      </c>
      <c r="K465" s="115" t="s">
        <v>23</v>
      </c>
      <c r="L465" s="117" t="s">
        <v>24</v>
      </c>
      <c r="M465" s="66">
        <v>207187</v>
      </c>
      <c r="N465" s="66">
        <v>10962</v>
      </c>
      <c r="O465" s="66">
        <v>70443</v>
      </c>
      <c r="P465" s="66">
        <v>277630</v>
      </c>
      <c r="Q465" s="67">
        <v>0.4</v>
      </c>
      <c r="R465" s="66">
        <v>111052</v>
      </c>
      <c r="S465" s="66">
        <v>388682</v>
      </c>
      <c r="T465" s="106">
        <f>IF(A465="Upgrade",IF(OR(H465=4,H465=5),_xlfn.XLOOKUP(I465,'Renewal Rates'!$A$22:$A$27,'Renewal Rates'!$B$22:$B$27,'Renewal Rates'!$B$27,0),'Renewal Rates'!$F$7),IF(A465="Renewal",100%,0%))</f>
        <v>0.21</v>
      </c>
      <c r="U465" s="68">
        <f t="shared" si="7"/>
        <v>81623.22</v>
      </c>
    </row>
    <row r="466" spans="1:21" s="41" customFormat="1" ht="13.8" x14ac:dyDescent="0.3">
      <c r="A466" s="115" t="s">
        <v>21</v>
      </c>
      <c r="B466" s="116">
        <v>2000362697</v>
      </c>
      <c r="C466" s="116">
        <v>14.009</v>
      </c>
      <c r="D466" s="117">
        <v>25.9</v>
      </c>
      <c r="E466" s="117"/>
      <c r="F466" s="117">
        <v>150</v>
      </c>
      <c r="G466" s="117">
        <v>675</v>
      </c>
      <c r="H466" s="123"/>
      <c r="I466" s="117" t="s">
        <v>122</v>
      </c>
      <c r="J466" s="115">
        <v>375</v>
      </c>
      <c r="K466" s="115" t="s">
        <v>23</v>
      </c>
      <c r="L466" s="117" t="s">
        <v>24</v>
      </c>
      <c r="M466" s="66">
        <v>119850</v>
      </c>
      <c r="N466" s="66">
        <v>4631</v>
      </c>
      <c r="O466" s="66">
        <v>40749</v>
      </c>
      <c r="P466" s="66">
        <v>160599</v>
      </c>
      <c r="Q466" s="67">
        <v>0.4</v>
      </c>
      <c r="R466" s="66">
        <v>64240</v>
      </c>
      <c r="S466" s="66">
        <v>224839</v>
      </c>
      <c r="T466" s="106">
        <f>IF(A466="Upgrade",IF(OR(H466=4,H466=5),_xlfn.XLOOKUP(I466,'Renewal Rates'!$A$22:$A$27,'Renewal Rates'!$B$22:$B$27,'Renewal Rates'!$B$27,0),'Renewal Rates'!$F$7),IF(A466="Renewal",100%,0%))</f>
        <v>2.6599999999999999E-2</v>
      </c>
      <c r="U466" s="68">
        <f t="shared" si="7"/>
        <v>5980.7173999999995</v>
      </c>
    </row>
    <row r="467" spans="1:21" s="41" customFormat="1" ht="13.8" x14ac:dyDescent="0.3">
      <c r="A467" s="115" t="s">
        <v>21</v>
      </c>
      <c r="B467" s="116">
        <v>2000164962</v>
      </c>
      <c r="C467" s="116">
        <v>14.01</v>
      </c>
      <c r="D467" s="117">
        <v>11</v>
      </c>
      <c r="E467" s="117"/>
      <c r="F467" s="117">
        <v>225</v>
      </c>
      <c r="G467" s="117">
        <v>375</v>
      </c>
      <c r="H467" s="123"/>
      <c r="I467" s="117" t="s">
        <v>122</v>
      </c>
      <c r="J467" s="115">
        <v>375</v>
      </c>
      <c r="K467" s="115" t="s">
        <v>23</v>
      </c>
      <c r="L467" s="117" t="s">
        <v>24</v>
      </c>
      <c r="M467" s="66">
        <v>44590</v>
      </c>
      <c r="N467" s="66">
        <v>4046</v>
      </c>
      <c r="O467" s="66">
        <v>15161</v>
      </c>
      <c r="P467" s="66">
        <v>59751</v>
      </c>
      <c r="Q467" s="67">
        <v>0.4</v>
      </c>
      <c r="R467" s="66">
        <v>23900</v>
      </c>
      <c r="S467" s="66">
        <v>83651</v>
      </c>
      <c r="T467" s="106">
        <f>IF(A467="Upgrade",IF(OR(H467=4,H467=5),_xlfn.XLOOKUP(I467,'Renewal Rates'!$A$22:$A$27,'Renewal Rates'!$B$22:$B$27,'Renewal Rates'!$B$27,0),'Renewal Rates'!$F$7),IF(A467="Renewal",100%,0%))</f>
        <v>2.6599999999999999E-2</v>
      </c>
      <c r="U467" s="68">
        <f t="shared" si="7"/>
        <v>2225.1165999999998</v>
      </c>
    </row>
    <row r="468" spans="1:21" s="41" customFormat="1" ht="13.8" x14ac:dyDescent="0.3">
      <c r="A468" s="115" t="s">
        <v>21</v>
      </c>
      <c r="B468" s="116">
        <v>2000474702</v>
      </c>
      <c r="C468" s="116">
        <v>14.01</v>
      </c>
      <c r="D468" s="117">
        <v>18.8</v>
      </c>
      <c r="E468" s="117"/>
      <c r="F468" s="117">
        <v>1354</v>
      </c>
      <c r="G468" s="117">
        <v>375</v>
      </c>
      <c r="H468" s="123">
        <v>5</v>
      </c>
      <c r="I468" s="117">
        <v>2</v>
      </c>
      <c r="J468" s="115">
        <v>375</v>
      </c>
      <c r="K468" s="115" t="s">
        <v>23</v>
      </c>
      <c r="L468" s="117" t="s">
        <v>24</v>
      </c>
      <c r="M468" s="66">
        <v>65066</v>
      </c>
      <c r="N468" s="66">
        <v>3467</v>
      </c>
      <c r="O468" s="66">
        <v>22122</v>
      </c>
      <c r="P468" s="66">
        <v>87189</v>
      </c>
      <c r="Q468" s="67">
        <v>0.4</v>
      </c>
      <c r="R468" s="66">
        <v>34875</v>
      </c>
      <c r="S468" s="66">
        <v>122064</v>
      </c>
      <c r="T468" s="106">
        <f>IF(A468="Upgrade",IF(OR(H468=4,H468=5),_xlfn.XLOOKUP(I468,'Renewal Rates'!$A$22:$A$27,'Renewal Rates'!$B$22:$B$27,'Renewal Rates'!$B$27,0),'Renewal Rates'!$F$7),IF(A468="Renewal",100%,0%))</f>
        <v>0</v>
      </c>
      <c r="U468" s="68">
        <f t="shared" si="7"/>
        <v>0</v>
      </c>
    </row>
    <row r="469" spans="1:21" s="41" customFormat="1" ht="13.8" x14ac:dyDescent="0.3">
      <c r="A469" s="115" t="s">
        <v>21</v>
      </c>
      <c r="B469" s="116">
        <v>2000459773</v>
      </c>
      <c r="C469" s="116">
        <v>14.006</v>
      </c>
      <c r="D469" s="117">
        <v>55.2</v>
      </c>
      <c r="E469" s="117"/>
      <c r="F469" s="117">
        <v>375</v>
      </c>
      <c r="G469" s="117">
        <v>525</v>
      </c>
      <c r="H469" s="123">
        <v>5</v>
      </c>
      <c r="I469" s="117">
        <v>3</v>
      </c>
      <c r="J469" s="115">
        <v>375</v>
      </c>
      <c r="K469" s="115" t="s">
        <v>23</v>
      </c>
      <c r="L469" s="117" t="s">
        <v>24</v>
      </c>
      <c r="M469" s="66">
        <v>205117</v>
      </c>
      <c r="N469" s="66">
        <v>3716</v>
      </c>
      <c r="O469" s="66">
        <v>69740</v>
      </c>
      <c r="P469" s="66">
        <v>274857</v>
      </c>
      <c r="Q469" s="67">
        <v>0.4</v>
      </c>
      <c r="R469" s="66">
        <v>109943</v>
      </c>
      <c r="S469" s="66">
        <v>384800</v>
      </c>
      <c r="T469" s="106">
        <f>IF(A469="Upgrade",IF(OR(H469=4,H469=5),_xlfn.XLOOKUP(I469,'Renewal Rates'!$A$22:$A$27,'Renewal Rates'!$B$22:$B$27,'Renewal Rates'!$B$27,0),'Renewal Rates'!$F$7),IF(A469="Renewal",100%,0%))</f>
        <v>0.21</v>
      </c>
      <c r="U469" s="68">
        <f t="shared" si="7"/>
        <v>80808</v>
      </c>
    </row>
    <row r="470" spans="1:21" s="41" customFormat="1" ht="13.8" x14ac:dyDescent="0.3">
      <c r="A470" s="115" t="s">
        <v>21</v>
      </c>
      <c r="B470" s="116">
        <v>2000080861</v>
      </c>
      <c r="C470" s="116">
        <v>14.005000000000001</v>
      </c>
      <c r="D470" s="117">
        <v>61.1</v>
      </c>
      <c r="E470" s="117"/>
      <c r="F470" s="117">
        <v>300</v>
      </c>
      <c r="G470" s="117">
        <v>525</v>
      </c>
      <c r="H470" s="123"/>
      <c r="I470" s="117" t="s">
        <v>122</v>
      </c>
      <c r="J470" s="115">
        <v>375</v>
      </c>
      <c r="K470" s="115" t="s">
        <v>23</v>
      </c>
      <c r="L470" s="117" t="s">
        <v>24</v>
      </c>
      <c r="M470" s="66">
        <v>193889</v>
      </c>
      <c r="N470" s="66">
        <v>3173</v>
      </c>
      <c r="O470" s="66">
        <v>65922</v>
      </c>
      <c r="P470" s="66">
        <v>259811</v>
      </c>
      <c r="Q470" s="67">
        <v>0.4</v>
      </c>
      <c r="R470" s="66">
        <v>103924</v>
      </c>
      <c r="S470" s="66">
        <v>363735</v>
      </c>
      <c r="T470" s="106">
        <f>IF(A470="Upgrade",IF(OR(H470=4,H470=5),_xlfn.XLOOKUP(I470,'Renewal Rates'!$A$22:$A$27,'Renewal Rates'!$B$22:$B$27,'Renewal Rates'!$B$27,0),'Renewal Rates'!$F$7),IF(A470="Renewal",100%,0%))</f>
        <v>2.6599999999999999E-2</v>
      </c>
      <c r="U470" s="68">
        <f t="shared" si="7"/>
        <v>9675.3509999999987</v>
      </c>
    </row>
    <row r="471" spans="1:21" s="41" customFormat="1" ht="13.8" x14ac:dyDescent="0.3">
      <c r="A471" s="115" t="s">
        <v>21</v>
      </c>
      <c r="B471" s="116">
        <v>2000868881</v>
      </c>
      <c r="C471" s="116">
        <v>14.005000000000001</v>
      </c>
      <c r="D471" s="117">
        <v>55.7</v>
      </c>
      <c r="E471" s="117"/>
      <c r="F471" s="117">
        <v>225</v>
      </c>
      <c r="G471" s="117">
        <v>525</v>
      </c>
      <c r="H471" s="123"/>
      <c r="I471" s="117" t="s">
        <v>122</v>
      </c>
      <c r="J471" s="115">
        <v>375</v>
      </c>
      <c r="K471" s="115" t="s">
        <v>23</v>
      </c>
      <c r="L471" s="117" t="s">
        <v>24</v>
      </c>
      <c r="M471" s="66">
        <v>189136</v>
      </c>
      <c r="N471" s="66">
        <v>3398</v>
      </c>
      <c r="O471" s="66">
        <v>64306</v>
      </c>
      <c r="P471" s="66">
        <v>253442</v>
      </c>
      <c r="Q471" s="67">
        <v>0.4</v>
      </c>
      <c r="R471" s="66">
        <v>101377</v>
      </c>
      <c r="S471" s="66">
        <v>354819</v>
      </c>
      <c r="T471" s="106">
        <f>IF(A471="Upgrade",IF(OR(H471=4,H471=5),_xlfn.XLOOKUP(I471,'Renewal Rates'!$A$22:$A$27,'Renewal Rates'!$B$22:$B$27,'Renewal Rates'!$B$27,0),'Renewal Rates'!$F$7),IF(A471="Renewal",100%,0%))</f>
        <v>2.6599999999999999E-2</v>
      </c>
      <c r="U471" s="68">
        <f t="shared" si="7"/>
        <v>9438.1854000000003</v>
      </c>
    </row>
    <row r="472" spans="1:21" s="41" customFormat="1" ht="13.8" x14ac:dyDescent="0.3">
      <c r="A472" s="115" t="s">
        <v>21</v>
      </c>
      <c r="B472" s="116">
        <v>3000140210</v>
      </c>
      <c r="C472" s="116">
        <v>14.007</v>
      </c>
      <c r="D472" s="117">
        <v>36.1</v>
      </c>
      <c r="E472" s="117"/>
      <c r="F472" s="117">
        <v>300</v>
      </c>
      <c r="G472" s="117">
        <v>750</v>
      </c>
      <c r="H472" s="123">
        <v>4</v>
      </c>
      <c r="I472" s="117"/>
      <c r="J472" s="115">
        <v>375</v>
      </c>
      <c r="K472" s="115" t="s">
        <v>23</v>
      </c>
      <c r="L472" s="117" t="s">
        <v>24</v>
      </c>
      <c r="M472" s="66">
        <v>180302</v>
      </c>
      <c r="N472" s="66">
        <v>4999</v>
      </c>
      <c r="O472" s="66">
        <v>61303</v>
      </c>
      <c r="P472" s="66">
        <v>241604</v>
      </c>
      <c r="Q472" s="67">
        <v>0.4</v>
      </c>
      <c r="R472" s="66">
        <v>96642</v>
      </c>
      <c r="S472" s="66">
        <v>338246</v>
      </c>
      <c r="T472" s="106">
        <f>IF(A472="Upgrade",IF(OR(H472=4,H472=5),_xlfn.XLOOKUP(I472,'Renewal Rates'!$A$22:$A$27,'Renewal Rates'!$B$22:$B$27,'Renewal Rates'!$B$27,0),'Renewal Rates'!$F$7),IF(A472="Renewal",100%,0%))</f>
        <v>0.116578</v>
      </c>
      <c r="U472" s="68">
        <f t="shared" si="7"/>
        <v>39432.042187999999</v>
      </c>
    </row>
    <row r="473" spans="1:21" s="41" customFormat="1" ht="13.8" x14ac:dyDescent="0.3">
      <c r="A473" s="115" t="s">
        <v>21</v>
      </c>
      <c r="B473" s="116">
        <v>3000174478</v>
      </c>
      <c r="C473" s="116">
        <v>14.007</v>
      </c>
      <c r="D473" s="117">
        <v>10.3</v>
      </c>
      <c r="E473" s="117"/>
      <c r="F473" s="117">
        <v>300</v>
      </c>
      <c r="G473" s="117">
        <v>750</v>
      </c>
      <c r="H473" s="123">
        <v>4</v>
      </c>
      <c r="I473" s="117"/>
      <c r="J473" s="115">
        <v>375</v>
      </c>
      <c r="K473" s="115" t="s">
        <v>23</v>
      </c>
      <c r="L473" s="117" t="s">
        <v>24</v>
      </c>
      <c r="M473" s="66">
        <v>82972</v>
      </c>
      <c r="N473" s="66">
        <v>8065</v>
      </c>
      <c r="O473" s="66">
        <v>28211</v>
      </c>
      <c r="P473" s="66">
        <v>111183</v>
      </c>
      <c r="Q473" s="67">
        <v>0.4</v>
      </c>
      <c r="R473" s="66">
        <v>44473</v>
      </c>
      <c r="S473" s="66">
        <v>155656</v>
      </c>
      <c r="T473" s="106">
        <f>IF(A473="Upgrade",IF(OR(H473=4,H473=5),_xlfn.XLOOKUP(I473,'Renewal Rates'!$A$22:$A$27,'Renewal Rates'!$B$22:$B$27,'Renewal Rates'!$B$27,0),'Renewal Rates'!$F$7),IF(A473="Renewal",100%,0%))</f>
        <v>0.116578</v>
      </c>
      <c r="U473" s="68">
        <f t="shared" si="7"/>
        <v>18146.065168000001</v>
      </c>
    </row>
    <row r="474" spans="1:21" s="41" customFormat="1" ht="13.8" x14ac:dyDescent="0.3">
      <c r="A474" s="115" t="s">
        <v>21</v>
      </c>
      <c r="B474" s="116">
        <v>2000578500</v>
      </c>
      <c r="C474" s="116">
        <v>14.007</v>
      </c>
      <c r="D474" s="117">
        <v>18.399999999999999</v>
      </c>
      <c r="E474" s="117"/>
      <c r="F474" s="117">
        <v>300</v>
      </c>
      <c r="G474" s="117">
        <v>750</v>
      </c>
      <c r="H474" s="123">
        <v>4</v>
      </c>
      <c r="I474" s="117">
        <v>2</v>
      </c>
      <c r="J474" s="115">
        <v>375</v>
      </c>
      <c r="K474" s="115" t="s">
        <v>23</v>
      </c>
      <c r="L474" s="117" t="s">
        <v>24</v>
      </c>
      <c r="M474" s="66">
        <v>94047</v>
      </c>
      <c r="N474" s="66">
        <v>5102</v>
      </c>
      <c r="O474" s="66">
        <v>31976</v>
      </c>
      <c r="P474" s="66">
        <v>126023</v>
      </c>
      <c r="Q474" s="67">
        <v>0.4</v>
      </c>
      <c r="R474" s="66">
        <v>50409</v>
      </c>
      <c r="S474" s="66">
        <v>176432</v>
      </c>
      <c r="T474" s="106">
        <f>IF(A474="Upgrade",IF(OR(H474=4,H474=5),_xlfn.XLOOKUP(I474,'Renewal Rates'!$A$22:$A$27,'Renewal Rates'!$B$22:$B$27,'Renewal Rates'!$B$27,0),'Renewal Rates'!$F$7),IF(A474="Renewal",100%,0%))</f>
        <v>0</v>
      </c>
      <c r="U474" s="68">
        <f t="shared" si="7"/>
        <v>0</v>
      </c>
    </row>
    <row r="475" spans="1:21" s="41" customFormat="1" ht="13.8" x14ac:dyDescent="0.3">
      <c r="A475" s="115" t="s">
        <v>21</v>
      </c>
      <c r="B475" s="116">
        <v>2000120788</v>
      </c>
      <c r="C475" s="116">
        <v>14.007</v>
      </c>
      <c r="D475" s="117">
        <v>10.9</v>
      </c>
      <c r="E475" s="117"/>
      <c r="F475" s="117">
        <v>300</v>
      </c>
      <c r="G475" s="117">
        <v>750</v>
      </c>
      <c r="H475" s="123"/>
      <c r="I475" s="117" t="s">
        <v>122</v>
      </c>
      <c r="J475" s="115">
        <v>375</v>
      </c>
      <c r="K475" s="115" t="s">
        <v>23</v>
      </c>
      <c r="L475" s="117" t="s">
        <v>24</v>
      </c>
      <c r="M475" s="66">
        <v>83844</v>
      </c>
      <c r="N475" s="66">
        <v>7672</v>
      </c>
      <c r="O475" s="66">
        <v>28507</v>
      </c>
      <c r="P475" s="66">
        <v>112351</v>
      </c>
      <c r="Q475" s="67">
        <v>0.4</v>
      </c>
      <c r="R475" s="66">
        <v>44940</v>
      </c>
      <c r="S475" s="66">
        <v>157292</v>
      </c>
      <c r="T475" s="106">
        <f>IF(A475="Upgrade",IF(OR(H475=4,H475=5),_xlfn.XLOOKUP(I475,'Renewal Rates'!$A$22:$A$27,'Renewal Rates'!$B$22:$B$27,'Renewal Rates'!$B$27,0),'Renewal Rates'!$F$7),IF(A475="Renewal",100%,0%))</f>
        <v>2.6599999999999999E-2</v>
      </c>
      <c r="U475" s="68">
        <f t="shared" si="7"/>
        <v>4183.9672</v>
      </c>
    </row>
    <row r="476" spans="1:21" s="41" customFormat="1" ht="13.8" x14ac:dyDescent="0.3">
      <c r="A476" s="115" t="s">
        <v>21</v>
      </c>
      <c r="B476" s="116">
        <v>3000174541</v>
      </c>
      <c r="C476" s="116">
        <v>15.013999999999999</v>
      </c>
      <c r="D476" s="117">
        <v>7.8</v>
      </c>
      <c r="E476" s="117"/>
      <c r="F476" s="117">
        <v>600</v>
      </c>
      <c r="G476" s="117">
        <v>675</v>
      </c>
      <c r="H476" s="123"/>
      <c r="I476" s="117" t="s">
        <v>122</v>
      </c>
      <c r="J476" s="115">
        <v>377</v>
      </c>
      <c r="K476" s="115" t="s">
        <v>23</v>
      </c>
      <c r="L476" s="117" t="s">
        <v>24</v>
      </c>
      <c r="M476" s="66">
        <v>82775</v>
      </c>
      <c r="N476" s="66">
        <v>10579</v>
      </c>
      <c r="O476" s="66">
        <v>28143</v>
      </c>
      <c r="P476" s="66">
        <v>110918</v>
      </c>
      <c r="Q476" s="67">
        <v>0.4</v>
      </c>
      <c r="R476" s="66">
        <v>44367</v>
      </c>
      <c r="S476" s="66">
        <v>155286</v>
      </c>
      <c r="T476" s="106">
        <f>IF(A476="Upgrade",IF(OR(H476=4,H476=5),_xlfn.XLOOKUP(I476,'Renewal Rates'!$A$22:$A$27,'Renewal Rates'!$B$22:$B$27,'Renewal Rates'!$B$27,0),'Renewal Rates'!$F$7),IF(A476="Renewal",100%,0%))</f>
        <v>2.6599999999999999E-2</v>
      </c>
      <c r="U476" s="68">
        <f t="shared" si="7"/>
        <v>4130.6075999999994</v>
      </c>
    </row>
    <row r="477" spans="1:21" s="41" customFormat="1" ht="13.8" x14ac:dyDescent="0.3">
      <c r="A477" s="115" t="s">
        <v>21</v>
      </c>
      <c r="B477" s="116">
        <v>3000174539</v>
      </c>
      <c r="C477" s="116">
        <v>15.013999999999999</v>
      </c>
      <c r="D477" s="117">
        <v>2.7</v>
      </c>
      <c r="E477" s="117"/>
      <c r="F477" s="117">
        <v>600</v>
      </c>
      <c r="G477" s="117">
        <v>675</v>
      </c>
      <c r="H477" s="123"/>
      <c r="I477" s="117" t="s">
        <v>122</v>
      </c>
      <c r="J477" s="115">
        <v>377</v>
      </c>
      <c r="K477" s="115" t="s">
        <v>23</v>
      </c>
      <c r="L477" s="117" t="s">
        <v>24</v>
      </c>
      <c r="M477" s="66">
        <v>53187</v>
      </c>
      <c r="N477" s="66">
        <v>20051</v>
      </c>
      <c r="O477" s="66">
        <v>18083</v>
      </c>
      <c r="P477" s="66">
        <v>71270</v>
      </c>
      <c r="Q477" s="67">
        <v>0.4</v>
      </c>
      <c r="R477" s="66">
        <v>28508</v>
      </c>
      <c r="S477" s="66">
        <v>99778</v>
      </c>
      <c r="T477" s="106">
        <f>IF(A477="Upgrade",IF(OR(H477=4,H477=5),_xlfn.XLOOKUP(I477,'Renewal Rates'!$A$22:$A$27,'Renewal Rates'!$B$22:$B$27,'Renewal Rates'!$B$27,0),'Renewal Rates'!$F$7),IF(A477="Renewal",100%,0%))</f>
        <v>2.6599999999999999E-2</v>
      </c>
      <c r="U477" s="68">
        <f t="shared" si="7"/>
        <v>2654.0947999999999</v>
      </c>
    </row>
    <row r="478" spans="1:21" s="41" customFormat="1" ht="13.8" x14ac:dyDescent="0.3">
      <c r="A478" s="115" t="s">
        <v>21</v>
      </c>
      <c r="B478" s="116">
        <v>3000174542</v>
      </c>
      <c r="C478" s="116">
        <v>15.013999999999999</v>
      </c>
      <c r="D478" s="117">
        <v>23.9</v>
      </c>
      <c r="E478" s="117"/>
      <c r="F478" s="117">
        <v>600</v>
      </c>
      <c r="G478" s="117">
        <v>675</v>
      </c>
      <c r="H478" s="123">
        <v>4</v>
      </c>
      <c r="I478" s="117"/>
      <c r="J478" s="115">
        <v>377</v>
      </c>
      <c r="K478" s="115" t="s">
        <v>23</v>
      </c>
      <c r="L478" s="117" t="s">
        <v>24</v>
      </c>
      <c r="M478" s="66">
        <v>117539</v>
      </c>
      <c r="N478" s="66">
        <v>4908</v>
      </c>
      <c r="O478" s="66">
        <v>39963</v>
      </c>
      <c r="P478" s="66">
        <v>157502</v>
      </c>
      <c r="Q478" s="67">
        <v>0.4</v>
      </c>
      <c r="R478" s="66">
        <v>63001</v>
      </c>
      <c r="S478" s="66">
        <v>220503</v>
      </c>
      <c r="T478" s="106">
        <f>IF(A478="Upgrade",IF(OR(H478=4,H478=5),_xlfn.XLOOKUP(I478,'Renewal Rates'!$A$22:$A$27,'Renewal Rates'!$B$22:$B$27,'Renewal Rates'!$B$27,0),'Renewal Rates'!$F$7),IF(A478="Renewal",100%,0%))</f>
        <v>0.116578</v>
      </c>
      <c r="U478" s="68">
        <f t="shared" si="7"/>
        <v>25705.798734</v>
      </c>
    </row>
    <row r="479" spans="1:21" s="41" customFormat="1" ht="13.8" x14ac:dyDescent="0.3">
      <c r="A479" s="115" t="s">
        <v>21</v>
      </c>
      <c r="B479" s="116">
        <v>2000949657</v>
      </c>
      <c r="C479" s="116">
        <v>15.013999999999999</v>
      </c>
      <c r="D479" s="117">
        <v>31.3</v>
      </c>
      <c r="E479" s="117"/>
      <c r="F479" s="117">
        <v>450</v>
      </c>
      <c r="G479" s="117">
        <v>675</v>
      </c>
      <c r="H479" s="123"/>
      <c r="I479" s="117" t="s">
        <v>122</v>
      </c>
      <c r="J479" s="115">
        <v>377</v>
      </c>
      <c r="K479" s="115" t="s">
        <v>23</v>
      </c>
      <c r="L479" s="117" t="s">
        <v>24</v>
      </c>
      <c r="M479" s="66">
        <v>126378</v>
      </c>
      <c r="N479" s="66">
        <v>4033</v>
      </c>
      <c r="O479" s="66">
        <v>42969</v>
      </c>
      <c r="P479" s="66">
        <v>169347</v>
      </c>
      <c r="Q479" s="67">
        <v>0.4</v>
      </c>
      <c r="R479" s="66">
        <v>67739</v>
      </c>
      <c r="S479" s="66">
        <v>237085</v>
      </c>
      <c r="T479" s="106">
        <f>IF(A479="Upgrade",IF(OR(H479=4,H479=5),_xlfn.XLOOKUP(I479,'Renewal Rates'!$A$22:$A$27,'Renewal Rates'!$B$22:$B$27,'Renewal Rates'!$B$27,0),'Renewal Rates'!$F$7),IF(A479="Renewal",100%,0%))</f>
        <v>2.6599999999999999E-2</v>
      </c>
      <c r="U479" s="68">
        <f t="shared" si="7"/>
        <v>6306.4609999999993</v>
      </c>
    </row>
    <row r="480" spans="1:21" s="41" customFormat="1" ht="13.8" x14ac:dyDescent="0.3">
      <c r="A480" s="115" t="s">
        <v>21</v>
      </c>
      <c r="B480" s="116">
        <v>2000384071</v>
      </c>
      <c r="C480" s="116">
        <v>15.012</v>
      </c>
      <c r="D480" s="117">
        <v>62.1</v>
      </c>
      <c r="E480" s="117"/>
      <c r="F480" s="117">
        <v>450</v>
      </c>
      <c r="G480" s="117">
        <v>675</v>
      </c>
      <c r="H480" s="123"/>
      <c r="I480" s="117" t="s">
        <v>122</v>
      </c>
      <c r="J480" s="115">
        <v>377</v>
      </c>
      <c r="K480" s="115" t="s">
        <v>23</v>
      </c>
      <c r="L480" s="117" t="s">
        <v>24</v>
      </c>
      <c r="M480" s="66">
        <v>246516</v>
      </c>
      <c r="N480" s="66">
        <v>3967</v>
      </c>
      <c r="O480" s="66">
        <v>83816</v>
      </c>
      <c r="P480" s="66">
        <v>330332</v>
      </c>
      <c r="Q480" s="67">
        <v>0.4</v>
      </c>
      <c r="R480" s="66">
        <v>132133</v>
      </c>
      <c r="S480" s="66">
        <v>462464</v>
      </c>
      <c r="T480" s="106">
        <f>IF(A480="Upgrade",IF(OR(H480=4,H480=5),_xlfn.XLOOKUP(I480,'Renewal Rates'!$A$22:$A$27,'Renewal Rates'!$B$22:$B$27,'Renewal Rates'!$B$27,0),'Renewal Rates'!$F$7),IF(A480="Renewal",100%,0%))</f>
        <v>2.6599999999999999E-2</v>
      </c>
      <c r="U480" s="68">
        <f t="shared" si="7"/>
        <v>12301.5424</v>
      </c>
    </row>
    <row r="481" spans="1:21" s="41" customFormat="1" ht="13.8" x14ac:dyDescent="0.3">
      <c r="A481" s="115" t="s">
        <v>21</v>
      </c>
      <c r="B481" s="116">
        <v>2000175143</v>
      </c>
      <c r="C481" s="116">
        <v>15.010999999999999</v>
      </c>
      <c r="D481" s="117">
        <v>16.100000000000001</v>
      </c>
      <c r="E481" s="117"/>
      <c r="F481" s="117">
        <v>225</v>
      </c>
      <c r="G481" s="117">
        <v>525</v>
      </c>
      <c r="H481" s="123"/>
      <c r="I481" s="117" t="s">
        <v>122</v>
      </c>
      <c r="J481" s="115">
        <v>375</v>
      </c>
      <c r="K481" s="115" t="s">
        <v>23</v>
      </c>
      <c r="L481" s="117" t="s">
        <v>24</v>
      </c>
      <c r="M481" s="66">
        <v>77386</v>
      </c>
      <c r="N481" s="66">
        <v>4818</v>
      </c>
      <c r="O481" s="66">
        <v>26311</v>
      </c>
      <c r="P481" s="66">
        <v>103697</v>
      </c>
      <c r="Q481" s="67">
        <v>0.4</v>
      </c>
      <c r="R481" s="66">
        <v>41479</v>
      </c>
      <c r="S481" s="66">
        <v>145176</v>
      </c>
      <c r="T481" s="106">
        <f>IF(A481="Upgrade",IF(OR(H481=4,H481=5),_xlfn.XLOOKUP(I481,'Renewal Rates'!$A$22:$A$27,'Renewal Rates'!$B$22:$B$27,'Renewal Rates'!$B$27,0),'Renewal Rates'!$F$7),IF(A481="Renewal",100%,0%))</f>
        <v>2.6599999999999999E-2</v>
      </c>
      <c r="U481" s="68">
        <f t="shared" si="7"/>
        <v>3861.6815999999999</v>
      </c>
    </row>
    <row r="482" spans="1:21" s="41" customFormat="1" ht="13.8" x14ac:dyDescent="0.3">
      <c r="A482" s="115" t="s">
        <v>21</v>
      </c>
      <c r="B482" s="116">
        <v>2000525512</v>
      </c>
      <c r="C482" s="116">
        <v>15.010999999999999</v>
      </c>
      <c r="D482" s="117">
        <v>63.2</v>
      </c>
      <c r="E482" s="117"/>
      <c r="F482" s="117">
        <v>225</v>
      </c>
      <c r="G482" s="117">
        <v>525</v>
      </c>
      <c r="H482" s="123"/>
      <c r="I482" s="117" t="s">
        <v>122</v>
      </c>
      <c r="J482" s="115">
        <v>375</v>
      </c>
      <c r="K482" s="115" t="s">
        <v>23</v>
      </c>
      <c r="L482" s="117" t="s">
        <v>24</v>
      </c>
      <c r="M482" s="66">
        <v>195735</v>
      </c>
      <c r="N482" s="66">
        <v>3096</v>
      </c>
      <c r="O482" s="66">
        <v>66550</v>
      </c>
      <c r="P482" s="66">
        <v>262285</v>
      </c>
      <c r="Q482" s="67">
        <v>0.4</v>
      </c>
      <c r="R482" s="66">
        <v>104914</v>
      </c>
      <c r="S482" s="66">
        <v>367200</v>
      </c>
      <c r="T482" s="106">
        <f>IF(A482="Upgrade",IF(OR(H482=4,H482=5),_xlfn.XLOOKUP(I482,'Renewal Rates'!$A$22:$A$27,'Renewal Rates'!$B$22:$B$27,'Renewal Rates'!$B$27,0),'Renewal Rates'!$F$7),IF(A482="Renewal",100%,0%))</f>
        <v>2.6599999999999999E-2</v>
      </c>
      <c r="U482" s="68">
        <f t="shared" si="7"/>
        <v>9767.5199999999986</v>
      </c>
    </row>
    <row r="483" spans="1:21" s="41" customFormat="1" ht="13.8" x14ac:dyDescent="0.3">
      <c r="A483" s="115" t="s">
        <v>21</v>
      </c>
      <c r="B483" s="116">
        <v>2000218364</v>
      </c>
      <c r="C483" s="116">
        <v>15.010999999999999</v>
      </c>
      <c r="D483" s="117">
        <v>80.5</v>
      </c>
      <c r="E483" s="117"/>
      <c r="F483" s="117">
        <v>375</v>
      </c>
      <c r="G483" s="117">
        <v>525</v>
      </c>
      <c r="H483" s="123"/>
      <c r="I483" s="117" t="s">
        <v>122</v>
      </c>
      <c r="J483" s="115">
        <v>375</v>
      </c>
      <c r="K483" s="115" t="s">
        <v>23</v>
      </c>
      <c r="L483" s="117" t="s">
        <v>24</v>
      </c>
      <c r="M483" s="66">
        <v>249694</v>
      </c>
      <c r="N483" s="66">
        <v>3102</v>
      </c>
      <c r="O483" s="66">
        <v>84896</v>
      </c>
      <c r="P483" s="66">
        <v>334589</v>
      </c>
      <c r="Q483" s="67">
        <v>0.4</v>
      </c>
      <c r="R483" s="66">
        <v>133836</v>
      </c>
      <c r="S483" s="66">
        <v>468425</v>
      </c>
      <c r="T483" s="106">
        <f>IF(A483="Upgrade",IF(OR(H483=4,H483=5),_xlfn.XLOOKUP(I483,'Renewal Rates'!$A$22:$A$27,'Renewal Rates'!$B$22:$B$27,'Renewal Rates'!$B$27,0),'Renewal Rates'!$F$7),IF(A483="Renewal",100%,0%))</f>
        <v>2.6599999999999999E-2</v>
      </c>
      <c r="U483" s="68">
        <f t="shared" si="7"/>
        <v>12460.105</v>
      </c>
    </row>
    <row r="484" spans="1:21" s="41" customFormat="1" ht="13.8" x14ac:dyDescent="0.3">
      <c r="A484" s="115" t="s">
        <v>21</v>
      </c>
      <c r="B484" s="116">
        <v>2000567388</v>
      </c>
      <c r="C484" s="116">
        <v>15.013</v>
      </c>
      <c r="D484" s="117">
        <v>37.1</v>
      </c>
      <c r="E484" s="117"/>
      <c r="F484" s="117">
        <v>375</v>
      </c>
      <c r="G484" s="117">
        <v>525</v>
      </c>
      <c r="H484" s="123"/>
      <c r="I484" s="117" t="s">
        <v>122</v>
      </c>
      <c r="J484" s="115">
        <v>375</v>
      </c>
      <c r="K484" s="115" t="s">
        <v>23</v>
      </c>
      <c r="L484" s="117" t="s">
        <v>24</v>
      </c>
      <c r="M484" s="66">
        <v>131610</v>
      </c>
      <c r="N484" s="66">
        <v>3543</v>
      </c>
      <c r="O484" s="66">
        <v>44747</v>
      </c>
      <c r="P484" s="66">
        <v>176357</v>
      </c>
      <c r="Q484" s="67">
        <v>0.4</v>
      </c>
      <c r="R484" s="66">
        <v>70543</v>
      </c>
      <c r="S484" s="66">
        <v>246900</v>
      </c>
      <c r="T484" s="106">
        <f>IF(A484="Upgrade",IF(OR(H484=4,H484=5),_xlfn.XLOOKUP(I484,'Renewal Rates'!$A$22:$A$27,'Renewal Rates'!$B$22:$B$27,'Renewal Rates'!$B$27,0),'Renewal Rates'!$F$7),IF(A484="Renewal",100%,0%))</f>
        <v>2.6599999999999999E-2</v>
      </c>
      <c r="U484" s="68">
        <f t="shared" si="7"/>
        <v>6567.54</v>
      </c>
    </row>
    <row r="485" spans="1:21" s="41" customFormat="1" ht="13.8" x14ac:dyDescent="0.3">
      <c r="A485" s="115" t="s">
        <v>21</v>
      </c>
      <c r="B485" s="116">
        <v>2000812480</v>
      </c>
      <c r="C485" s="116">
        <v>15.01</v>
      </c>
      <c r="D485" s="117">
        <v>62</v>
      </c>
      <c r="E485" s="117"/>
      <c r="F485" s="117">
        <v>375</v>
      </c>
      <c r="G485" s="117">
        <v>450</v>
      </c>
      <c r="H485" s="123"/>
      <c r="I485" s="117" t="s">
        <v>122</v>
      </c>
      <c r="J485" s="115">
        <v>375</v>
      </c>
      <c r="K485" s="115" t="s">
        <v>23</v>
      </c>
      <c r="L485" s="117" t="s">
        <v>24</v>
      </c>
      <c r="M485" s="66">
        <v>185649</v>
      </c>
      <c r="N485" s="66">
        <v>2996</v>
      </c>
      <c r="O485" s="66">
        <v>63121</v>
      </c>
      <c r="P485" s="66">
        <v>248770</v>
      </c>
      <c r="Q485" s="67">
        <v>0.4</v>
      </c>
      <c r="R485" s="66">
        <v>99508</v>
      </c>
      <c r="S485" s="66">
        <v>348278</v>
      </c>
      <c r="T485" s="106">
        <f>IF(A485="Upgrade",IF(OR(H485=4,H485=5),_xlfn.XLOOKUP(I485,'Renewal Rates'!$A$22:$A$27,'Renewal Rates'!$B$22:$B$27,'Renewal Rates'!$B$27,0),'Renewal Rates'!$F$7),IF(A485="Renewal",100%,0%))</f>
        <v>2.6599999999999999E-2</v>
      </c>
      <c r="U485" s="68">
        <f t="shared" si="7"/>
        <v>9264.1947999999993</v>
      </c>
    </row>
    <row r="486" spans="1:21" s="41" customFormat="1" ht="13.8" x14ac:dyDescent="0.3">
      <c r="A486" s="115" t="s">
        <v>21</v>
      </c>
      <c r="B486" s="116">
        <v>2000125219</v>
      </c>
      <c r="C486" s="116">
        <v>15.01</v>
      </c>
      <c r="D486" s="117">
        <v>43</v>
      </c>
      <c r="E486" s="117"/>
      <c r="F486" s="117">
        <v>300</v>
      </c>
      <c r="G486" s="117">
        <v>450</v>
      </c>
      <c r="H486" s="123"/>
      <c r="I486" s="117" t="s">
        <v>122</v>
      </c>
      <c r="J486" s="115">
        <v>375</v>
      </c>
      <c r="K486" s="115" t="s">
        <v>23</v>
      </c>
      <c r="L486" s="117" t="s">
        <v>24</v>
      </c>
      <c r="M486" s="66">
        <v>113942</v>
      </c>
      <c r="N486" s="66">
        <v>2647</v>
      </c>
      <c r="O486" s="66">
        <v>38740</v>
      </c>
      <c r="P486" s="66">
        <v>152682</v>
      </c>
      <c r="Q486" s="67">
        <v>0.4</v>
      </c>
      <c r="R486" s="66">
        <v>61073</v>
      </c>
      <c r="S486" s="66">
        <v>213754</v>
      </c>
      <c r="T486" s="106">
        <f>IF(A486="Upgrade",IF(OR(H486=4,H486=5),_xlfn.XLOOKUP(I486,'Renewal Rates'!$A$22:$A$27,'Renewal Rates'!$B$22:$B$27,'Renewal Rates'!$B$27,0),'Renewal Rates'!$F$7),IF(A486="Renewal",100%,0%))</f>
        <v>2.6599999999999999E-2</v>
      </c>
      <c r="U486" s="68">
        <f t="shared" si="7"/>
        <v>5685.8563999999997</v>
      </c>
    </row>
    <row r="487" spans="1:21" s="41" customFormat="1" ht="13.8" x14ac:dyDescent="0.3">
      <c r="A487" s="115" t="s">
        <v>21</v>
      </c>
      <c r="B487" s="116">
        <v>2000029358</v>
      </c>
      <c r="C487" s="116">
        <v>15.01</v>
      </c>
      <c r="D487" s="117">
        <v>32.299999999999997</v>
      </c>
      <c r="E487" s="117"/>
      <c r="F487" s="117">
        <v>225</v>
      </c>
      <c r="G487" s="117">
        <v>450</v>
      </c>
      <c r="H487" s="123"/>
      <c r="I487" s="117" t="s">
        <v>122</v>
      </c>
      <c r="J487" s="115">
        <v>375</v>
      </c>
      <c r="K487" s="115" t="s">
        <v>23</v>
      </c>
      <c r="L487" s="117" t="s">
        <v>24</v>
      </c>
      <c r="M487" s="66">
        <v>106313</v>
      </c>
      <c r="N487" s="66">
        <v>3288</v>
      </c>
      <c r="O487" s="66">
        <v>36146</v>
      </c>
      <c r="P487" s="66">
        <v>142459</v>
      </c>
      <c r="Q487" s="67">
        <v>0.4</v>
      </c>
      <c r="R487" s="66">
        <v>56984</v>
      </c>
      <c r="S487" s="66">
        <v>199442</v>
      </c>
      <c r="T487" s="106">
        <f>IF(A487="Upgrade",IF(OR(H487=4,H487=5),_xlfn.XLOOKUP(I487,'Renewal Rates'!$A$22:$A$27,'Renewal Rates'!$B$22:$B$27,'Renewal Rates'!$B$27,0),'Renewal Rates'!$F$7),IF(A487="Renewal",100%,0%))</f>
        <v>2.6599999999999999E-2</v>
      </c>
      <c r="U487" s="68">
        <f t="shared" si="7"/>
        <v>5305.1571999999996</v>
      </c>
    </row>
    <row r="488" spans="1:21" s="41" customFormat="1" ht="13.8" x14ac:dyDescent="0.3">
      <c r="A488" s="115" t="s">
        <v>21</v>
      </c>
      <c r="B488" s="116">
        <v>2000880172</v>
      </c>
      <c r="C488" s="116">
        <v>15.01</v>
      </c>
      <c r="D488" s="117">
        <v>40.299999999999997</v>
      </c>
      <c r="E488" s="117"/>
      <c r="F488" s="117">
        <v>225</v>
      </c>
      <c r="G488" s="117">
        <v>450</v>
      </c>
      <c r="H488" s="123"/>
      <c r="I488" s="117" t="s">
        <v>122</v>
      </c>
      <c r="J488" s="115">
        <v>375</v>
      </c>
      <c r="K488" s="115" t="s">
        <v>23</v>
      </c>
      <c r="L488" s="117" t="s">
        <v>24</v>
      </c>
      <c r="M488" s="66">
        <v>128369</v>
      </c>
      <c r="N488" s="66">
        <v>3185</v>
      </c>
      <c r="O488" s="66">
        <v>43645</v>
      </c>
      <c r="P488" s="66">
        <v>172014</v>
      </c>
      <c r="Q488" s="67">
        <v>0.4</v>
      </c>
      <c r="R488" s="66">
        <v>68806</v>
      </c>
      <c r="S488" s="66">
        <v>240820</v>
      </c>
      <c r="T488" s="106">
        <f>IF(A488="Upgrade",IF(OR(H488=4,H488=5),_xlfn.XLOOKUP(I488,'Renewal Rates'!$A$22:$A$27,'Renewal Rates'!$B$22:$B$27,'Renewal Rates'!$B$27,0),'Renewal Rates'!$F$7),IF(A488="Renewal",100%,0%))</f>
        <v>2.6599999999999999E-2</v>
      </c>
      <c r="U488" s="68">
        <f t="shared" si="7"/>
        <v>6405.8119999999999</v>
      </c>
    </row>
    <row r="489" spans="1:21" s="41" customFormat="1" ht="13.8" x14ac:dyDescent="0.3">
      <c r="A489" s="115" t="s">
        <v>21</v>
      </c>
      <c r="B489" s="116">
        <v>2000470449</v>
      </c>
      <c r="C489" s="116">
        <v>15.003</v>
      </c>
      <c r="D489" s="117">
        <v>31.5</v>
      </c>
      <c r="E489" s="117"/>
      <c r="F489" s="117">
        <v>225</v>
      </c>
      <c r="G489" s="117">
        <v>825</v>
      </c>
      <c r="H489" s="123"/>
      <c r="I489" s="117" t="s">
        <v>122</v>
      </c>
      <c r="J489" s="115">
        <v>377</v>
      </c>
      <c r="K489" s="115" t="s">
        <v>23</v>
      </c>
      <c r="L489" s="117" t="s">
        <v>24</v>
      </c>
      <c r="M489" s="66">
        <v>151233</v>
      </c>
      <c r="N489" s="66">
        <v>4807</v>
      </c>
      <c r="O489" s="66">
        <v>60771</v>
      </c>
      <c r="P489" s="66">
        <v>239511</v>
      </c>
      <c r="Q489" s="67">
        <v>0.4</v>
      </c>
      <c r="R489" s="66">
        <v>95804</v>
      </c>
      <c r="S489" s="66">
        <v>335316</v>
      </c>
      <c r="T489" s="106">
        <f>IF(A489="Upgrade",IF(OR(H489=4,H489=5),_xlfn.XLOOKUP(I489,'Renewal Rates'!$A$22:$A$27,'Renewal Rates'!$B$22:$B$27,'Renewal Rates'!$B$27,0),'Renewal Rates'!$F$7),IF(A489="Renewal",100%,0%))</f>
        <v>2.6599999999999999E-2</v>
      </c>
      <c r="U489" s="68">
        <f t="shared" si="7"/>
        <v>8919.4056</v>
      </c>
    </row>
    <row r="490" spans="1:21" s="41" customFormat="1" ht="13.8" x14ac:dyDescent="0.3">
      <c r="A490" s="115" t="s">
        <v>21</v>
      </c>
      <c r="B490" s="116">
        <v>2000425501</v>
      </c>
      <c r="C490" s="116">
        <v>15.003</v>
      </c>
      <c r="D490" s="117">
        <v>38.299999999999997</v>
      </c>
      <c r="E490" s="117"/>
      <c r="F490" s="117">
        <v>225</v>
      </c>
      <c r="G490" s="117">
        <v>825</v>
      </c>
      <c r="H490" s="123"/>
      <c r="I490" s="117" t="s">
        <v>122</v>
      </c>
      <c r="J490" s="115">
        <v>377</v>
      </c>
      <c r="K490" s="115" t="s">
        <v>23</v>
      </c>
      <c r="L490" s="117" t="s">
        <v>24</v>
      </c>
      <c r="M490" s="66">
        <v>142082</v>
      </c>
      <c r="N490" s="66">
        <v>3706</v>
      </c>
      <c r="O490" s="66">
        <v>62986</v>
      </c>
      <c r="P490" s="66">
        <v>248240</v>
      </c>
      <c r="Q490" s="67">
        <v>0.4</v>
      </c>
      <c r="R490" s="66">
        <v>99296</v>
      </c>
      <c r="S490" s="66">
        <v>347537</v>
      </c>
      <c r="T490" s="106">
        <f>IF(A490="Upgrade",IF(OR(H490=4,H490=5),_xlfn.XLOOKUP(I490,'Renewal Rates'!$A$22:$A$27,'Renewal Rates'!$B$22:$B$27,'Renewal Rates'!$B$27,0),'Renewal Rates'!$F$7),IF(A490="Renewal",100%,0%))</f>
        <v>2.6599999999999999E-2</v>
      </c>
      <c r="U490" s="68">
        <f t="shared" si="7"/>
        <v>9244.484199999999</v>
      </c>
    </row>
    <row r="491" spans="1:21" s="41" customFormat="1" ht="13.8" x14ac:dyDescent="0.3">
      <c r="A491" s="115" t="s">
        <v>21</v>
      </c>
      <c r="B491" s="116">
        <v>2000752217</v>
      </c>
      <c r="C491" s="116">
        <v>15.003</v>
      </c>
      <c r="D491" s="117">
        <v>57</v>
      </c>
      <c r="E491" s="117"/>
      <c r="F491" s="117">
        <v>225</v>
      </c>
      <c r="G491" s="117">
        <v>825</v>
      </c>
      <c r="H491" s="123"/>
      <c r="I491" s="117" t="s">
        <v>122</v>
      </c>
      <c r="J491" s="115">
        <v>377</v>
      </c>
      <c r="K491" s="115" t="s">
        <v>23</v>
      </c>
      <c r="L491" s="117" t="s">
        <v>24</v>
      </c>
      <c r="M491" s="66">
        <v>241029</v>
      </c>
      <c r="N491" s="66">
        <v>4230</v>
      </c>
      <c r="O491" s="66">
        <v>94032</v>
      </c>
      <c r="P491" s="66">
        <v>370598</v>
      </c>
      <c r="Q491" s="67">
        <v>0.4</v>
      </c>
      <c r="R491" s="66">
        <v>148239</v>
      </c>
      <c r="S491" s="66">
        <v>518837</v>
      </c>
      <c r="T491" s="106">
        <f>IF(A491="Upgrade",IF(OR(H491=4,H491=5),_xlfn.XLOOKUP(I491,'Renewal Rates'!$A$22:$A$27,'Renewal Rates'!$B$22:$B$27,'Renewal Rates'!$B$27,0),'Renewal Rates'!$F$7),IF(A491="Renewal",100%,0%))</f>
        <v>2.6599999999999999E-2</v>
      </c>
      <c r="U491" s="68">
        <f t="shared" si="7"/>
        <v>13801.064199999999</v>
      </c>
    </row>
    <row r="492" spans="1:21" s="41" customFormat="1" ht="13.8" x14ac:dyDescent="0.3">
      <c r="A492" s="115" t="s">
        <v>25</v>
      </c>
      <c r="B492" s="116" t="s">
        <v>22</v>
      </c>
      <c r="C492" s="116">
        <v>15.000999999999999</v>
      </c>
      <c r="D492" s="117"/>
      <c r="E492" s="117">
        <v>89</v>
      </c>
      <c r="F492" s="117"/>
      <c r="G492" s="117">
        <v>450</v>
      </c>
      <c r="H492" s="123"/>
      <c r="I492" s="117" t="s">
        <v>122</v>
      </c>
      <c r="J492" s="115">
        <v>377</v>
      </c>
      <c r="K492" s="115" t="s">
        <v>23</v>
      </c>
      <c r="L492" s="117" t="s">
        <v>24</v>
      </c>
      <c r="M492" s="66">
        <v>185790</v>
      </c>
      <c r="N492" s="66">
        <v>2088</v>
      </c>
      <c r="O492" s="66">
        <v>82886</v>
      </c>
      <c r="P492" s="66">
        <v>326667</v>
      </c>
      <c r="Q492" s="67">
        <v>0.4</v>
      </c>
      <c r="R492" s="66">
        <v>130667</v>
      </c>
      <c r="S492" s="66">
        <v>457334</v>
      </c>
      <c r="T492" s="106">
        <f>IF(A492="Upgrade",IF(OR(H492=4,H492=5),_xlfn.XLOOKUP(I492,'Renewal Rates'!$A$22:$A$27,'Renewal Rates'!$B$22:$B$27,'Renewal Rates'!$B$27,0),'Renewal Rates'!$F$7),IF(A492="Renewal",100%,0%))</f>
        <v>0</v>
      </c>
      <c r="U492" s="68">
        <f t="shared" si="7"/>
        <v>0</v>
      </c>
    </row>
    <row r="493" spans="1:21" s="41" customFormat="1" ht="13.8" x14ac:dyDescent="0.3">
      <c r="A493" s="115" t="s">
        <v>25</v>
      </c>
      <c r="B493" s="116" t="s">
        <v>22</v>
      </c>
      <c r="C493" s="116">
        <v>10.002000000000001</v>
      </c>
      <c r="D493" s="117"/>
      <c r="E493" s="117">
        <v>83.2</v>
      </c>
      <c r="F493" s="117"/>
      <c r="G493" s="117">
        <v>450</v>
      </c>
      <c r="H493" s="123"/>
      <c r="I493" s="117" t="s">
        <v>122</v>
      </c>
      <c r="J493" s="115">
        <v>377</v>
      </c>
      <c r="K493" s="115" t="s">
        <v>23</v>
      </c>
      <c r="L493" s="117" t="s">
        <v>24</v>
      </c>
      <c r="M493" s="66">
        <v>195830</v>
      </c>
      <c r="N493" s="66">
        <v>2353</v>
      </c>
      <c r="O493" s="66">
        <v>80448</v>
      </c>
      <c r="P493" s="66">
        <v>317060</v>
      </c>
      <c r="Q493" s="67">
        <v>0.4</v>
      </c>
      <c r="R493" s="66">
        <v>126824</v>
      </c>
      <c r="S493" s="66">
        <v>443884</v>
      </c>
      <c r="T493" s="106">
        <f>IF(A493="Upgrade",IF(OR(H493=4,H493=5),_xlfn.XLOOKUP(I493,'Renewal Rates'!$A$22:$A$27,'Renewal Rates'!$B$22:$B$27,'Renewal Rates'!$B$27,0),'Renewal Rates'!$F$7),IF(A493="Renewal",100%,0%))</f>
        <v>0</v>
      </c>
      <c r="U493" s="68">
        <f t="shared" si="7"/>
        <v>0</v>
      </c>
    </row>
    <row r="494" spans="1:21" s="41" customFormat="1" ht="13.8" x14ac:dyDescent="0.3">
      <c r="A494" s="115" t="s">
        <v>25</v>
      </c>
      <c r="B494" s="116" t="s">
        <v>22</v>
      </c>
      <c r="C494" s="116">
        <v>10.003</v>
      </c>
      <c r="D494" s="117"/>
      <c r="E494" s="117">
        <v>103.1</v>
      </c>
      <c r="F494" s="117"/>
      <c r="G494" s="117">
        <v>600</v>
      </c>
      <c r="H494" s="123"/>
      <c r="I494" s="117" t="s">
        <v>122</v>
      </c>
      <c r="J494" s="115">
        <v>377</v>
      </c>
      <c r="K494" s="115" t="s">
        <v>23</v>
      </c>
      <c r="L494" s="117" t="s">
        <v>24</v>
      </c>
      <c r="M494" s="66">
        <v>293655</v>
      </c>
      <c r="N494" s="66">
        <v>2848</v>
      </c>
      <c r="O494" s="66">
        <v>116417</v>
      </c>
      <c r="P494" s="66">
        <v>458819</v>
      </c>
      <c r="Q494" s="67">
        <v>0.4</v>
      </c>
      <c r="R494" s="66">
        <v>183528</v>
      </c>
      <c r="S494" s="66">
        <v>642347</v>
      </c>
      <c r="T494" s="106">
        <f>IF(A494="Upgrade",IF(OR(H494=4,H494=5),_xlfn.XLOOKUP(I494,'Renewal Rates'!$A$22:$A$27,'Renewal Rates'!$B$22:$B$27,'Renewal Rates'!$B$27,0),'Renewal Rates'!$F$7),IF(A494="Renewal",100%,0%))</f>
        <v>0</v>
      </c>
      <c r="U494" s="68">
        <f t="shared" si="7"/>
        <v>0</v>
      </c>
    </row>
    <row r="495" spans="1:21" s="41" customFormat="1" ht="13.8" x14ac:dyDescent="0.3">
      <c r="A495" s="115" t="s">
        <v>25</v>
      </c>
      <c r="B495" s="116" t="s">
        <v>22</v>
      </c>
      <c r="C495" s="116">
        <v>10.004</v>
      </c>
      <c r="D495" s="117"/>
      <c r="E495" s="117">
        <v>243.9</v>
      </c>
      <c r="F495" s="117"/>
      <c r="G495" s="117">
        <v>675</v>
      </c>
      <c r="H495" s="123"/>
      <c r="I495" s="117" t="s">
        <v>122</v>
      </c>
      <c r="J495" s="115">
        <v>377</v>
      </c>
      <c r="K495" s="115" t="s">
        <v>23</v>
      </c>
      <c r="L495" s="117" t="s">
        <v>24</v>
      </c>
      <c r="M495" s="66">
        <v>723686</v>
      </c>
      <c r="N495" s="66">
        <v>2968</v>
      </c>
      <c r="O495" s="66">
        <v>302156</v>
      </c>
      <c r="P495" s="66">
        <v>1190849</v>
      </c>
      <c r="Q495" s="67">
        <v>0.4</v>
      </c>
      <c r="R495" s="66">
        <v>476340</v>
      </c>
      <c r="S495" s="66">
        <v>1667188</v>
      </c>
      <c r="T495" s="106">
        <f>IF(A495="Upgrade",IF(OR(H495=4,H495=5),_xlfn.XLOOKUP(I495,'Renewal Rates'!$A$22:$A$27,'Renewal Rates'!$B$22:$B$27,'Renewal Rates'!$B$27,0),'Renewal Rates'!$F$7),IF(A495="Renewal",100%,0%))</f>
        <v>0</v>
      </c>
      <c r="U495" s="68">
        <f t="shared" si="7"/>
        <v>0</v>
      </c>
    </row>
    <row r="496" spans="1:21" s="41" customFormat="1" ht="13.8" x14ac:dyDescent="0.3">
      <c r="A496" s="115" t="s">
        <v>25</v>
      </c>
      <c r="B496" s="116" t="s">
        <v>22</v>
      </c>
      <c r="C496" s="116">
        <v>15.006</v>
      </c>
      <c r="D496" s="117"/>
      <c r="E496" s="117">
        <v>25</v>
      </c>
      <c r="F496" s="117"/>
      <c r="G496" s="117">
        <v>375</v>
      </c>
      <c r="H496" s="123"/>
      <c r="I496" s="117" t="s">
        <v>122</v>
      </c>
      <c r="J496" s="115">
        <v>377</v>
      </c>
      <c r="K496" s="115" t="s">
        <v>23</v>
      </c>
      <c r="L496" s="117" t="s">
        <v>24</v>
      </c>
      <c r="M496" s="66">
        <v>81782</v>
      </c>
      <c r="N496" s="66">
        <v>3270</v>
      </c>
      <c r="O496" s="66">
        <v>27806</v>
      </c>
      <c r="P496" s="66">
        <v>109588</v>
      </c>
      <c r="Q496" s="67">
        <v>0.4</v>
      </c>
      <c r="R496" s="66">
        <v>43835</v>
      </c>
      <c r="S496" s="66">
        <v>153423</v>
      </c>
      <c r="T496" s="106">
        <f>IF(A496="Upgrade",IF(OR(H496=4,H496=5),_xlfn.XLOOKUP(I496,'Renewal Rates'!$A$22:$A$27,'Renewal Rates'!$B$22:$B$27,'Renewal Rates'!$B$27,0),'Renewal Rates'!$F$7),IF(A496="Renewal",100%,0%))</f>
        <v>0</v>
      </c>
      <c r="U496" s="68">
        <f t="shared" si="7"/>
        <v>0</v>
      </c>
    </row>
    <row r="497" spans="1:21" s="41" customFormat="1" ht="13.8" x14ac:dyDescent="0.3">
      <c r="A497" s="115" t="s">
        <v>25</v>
      </c>
      <c r="B497" s="116" t="s">
        <v>22</v>
      </c>
      <c r="C497" s="116">
        <v>15.007</v>
      </c>
      <c r="D497" s="117"/>
      <c r="E497" s="117">
        <v>36.700000000000003</v>
      </c>
      <c r="F497" s="117"/>
      <c r="G497" s="117">
        <v>300</v>
      </c>
      <c r="H497" s="123"/>
      <c r="I497" s="117" t="s">
        <v>122</v>
      </c>
      <c r="J497" s="115">
        <v>377</v>
      </c>
      <c r="K497" s="115" t="s">
        <v>23</v>
      </c>
      <c r="L497" s="117" t="s">
        <v>24</v>
      </c>
      <c r="M497" s="66">
        <v>69651</v>
      </c>
      <c r="N497" s="66">
        <v>1898</v>
      </c>
      <c r="O497" s="66">
        <v>23681</v>
      </c>
      <c r="P497" s="66">
        <v>93332</v>
      </c>
      <c r="Q497" s="67">
        <v>0.4</v>
      </c>
      <c r="R497" s="66">
        <v>37333</v>
      </c>
      <c r="S497" s="66">
        <v>130665</v>
      </c>
      <c r="T497" s="106">
        <f>IF(A497="Upgrade",IF(OR(H497=4,H497=5),_xlfn.XLOOKUP(I497,'Renewal Rates'!$A$22:$A$27,'Renewal Rates'!$B$22:$B$27,'Renewal Rates'!$B$27,0),'Renewal Rates'!$F$7),IF(A497="Renewal",100%,0%))</f>
        <v>0</v>
      </c>
      <c r="U497" s="68">
        <f t="shared" si="7"/>
        <v>0</v>
      </c>
    </row>
    <row r="498" spans="1:21" s="41" customFormat="1" ht="13.8" x14ac:dyDescent="0.3">
      <c r="A498" s="115" t="s">
        <v>25</v>
      </c>
      <c r="B498" s="116" t="s">
        <v>22</v>
      </c>
      <c r="C498" s="116">
        <v>15.005000000000001</v>
      </c>
      <c r="D498" s="117"/>
      <c r="E498" s="117">
        <v>94.1</v>
      </c>
      <c r="F498" s="117"/>
      <c r="G498" s="117">
        <v>375</v>
      </c>
      <c r="H498" s="123"/>
      <c r="I498" s="117" t="s">
        <v>122</v>
      </c>
      <c r="J498" s="115">
        <v>377</v>
      </c>
      <c r="K498" s="115" t="s">
        <v>23</v>
      </c>
      <c r="L498" s="117" t="s">
        <v>24</v>
      </c>
      <c r="M498" s="66">
        <v>201481</v>
      </c>
      <c r="N498" s="66">
        <v>2140</v>
      </c>
      <c r="O498" s="66">
        <v>68504</v>
      </c>
      <c r="P498" s="66">
        <v>269985</v>
      </c>
      <c r="Q498" s="67">
        <v>0.4</v>
      </c>
      <c r="R498" s="66">
        <v>107994</v>
      </c>
      <c r="S498" s="66">
        <v>377979</v>
      </c>
      <c r="T498" s="106">
        <f>IF(A498="Upgrade",IF(OR(H498=4,H498=5),_xlfn.XLOOKUP(I498,'Renewal Rates'!$A$22:$A$27,'Renewal Rates'!$B$22:$B$27,'Renewal Rates'!$B$27,0),'Renewal Rates'!$F$7),IF(A498="Renewal",100%,0%))</f>
        <v>0</v>
      </c>
      <c r="U498" s="68">
        <f t="shared" si="7"/>
        <v>0</v>
      </c>
    </row>
    <row r="499" spans="1:21" s="41" customFormat="1" ht="13.8" x14ac:dyDescent="0.3">
      <c r="A499" s="115" t="s">
        <v>21</v>
      </c>
      <c r="B499" s="116">
        <v>2000904959</v>
      </c>
      <c r="C499" s="116">
        <v>15.016999999999999</v>
      </c>
      <c r="D499" s="117">
        <v>65</v>
      </c>
      <c r="E499" s="117"/>
      <c r="F499" s="117">
        <v>600</v>
      </c>
      <c r="G499" s="117">
        <v>750</v>
      </c>
      <c r="H499" s="123"/>
      <c r="I499" s="117" t="s">
        <v>122</v>
      </c>
      <c r="J499" s="115">
        <v>377</v>
      </c>
      <c r="K499" s="115" t="s">
        <v>23</v>
      </c>
      <c r="L499" s="117" t="s">
        <v>24</v>
      </c>
      <c r="M499" s="66">
        <v>302438</v>
      </c>
      <c r="N499" s="66">
        <v>4653</v>
      </c>
      <c r="O499" s="66">
        <v>102829</v>
      </c>
      <c r="P499" s="66">
        <v>405267</v>
      </c>
      <c r="Q499" s="67">
        <v>0.4</v>
      </c>
      <c r="R499" s="66">
        <v>162107</v>
      </c>
      <c r="S499" s="66">
        <v>567374</v>
      </c>
      <c r="T499" s="106">
        <f>IF(A499="Upgrade",IF(OR(H499=4,H499=5),_xlfn.XLOOKUP(I499,'Renewal Rates'!$A$22:$A$27,'Renewal Rates'!$B$22:$B$27,'Renewal Rates'!$B$27,0),'Renewal Rates'!$F$7),IF(A499="Renewal",100%,0%))</f>
        <v>2.6599999999999999E-2</v>
      </c>
      <c r="U499" s="68">
        <f t="shared" si="7"/>
        <v>15092.1484</v>
      </c>
    </row>
    <row r="500" spans="1:21" s="41" customFormat="1" ht="13.8" x14ac:dyDescent="0.3">
      <c r="A500" s="115" t="s">
        <v>21</v>
      </c>
      <c r="B500" s="116">
        <v>2000307581</v>
      </c>
      <c r="C500" s="116">
        <v>15.016</v>
      </c>
      <c r="D500" s="117">
        <v>28.2</v>
      </c>
      <c r="E500" s="117"/>
      <c r="F500" s="117">
        <v>450</v>
      </c>
      <c r="G500" s="117">
        <v>600</v>
      </c>
      <c r="H500" s="123"/>
      <c r="I500" s="117" t="s">
        <v>122</v>
      </c>
      <c r="J500" s="115">
        <v>377</v>
      </c>
      <c r="K500" s="115" t="s">
        <v>23</v>
      </c>
      <c r="L500" s="117" t="s">
        <v>24</v>
      </c>
      <c r="M500" s="66">
        <v>111532</v>
      </c>
      <c r="N500" s="66">
        <v>3951</v>
      </c>
      <c r="O500" s="66">
        <v>37921</v>
      </c>
      <c r="P500" s="66">
        <v>149453</v>
      </c>
      <c r="Q500" s="67">
        <v>0.4</v>
      </c>
      <c r="R500" s="66">
        <v>59781</v>
      </c>
      <c r="S500" s="66">
        <v>209234</v>
      </c>
      <c r="T500" s="106">
        <f>IF(A500="Upgrade",IF(OR(H500=4,H500=5),_xlfn.XLOOKUP(I500,'Renewal Rates'!$A$22:$A$27,'Renewal Rates'!$B$22:$B$27,'Renewal Rates'!$B$27,0),'Renewal Rates'!$F$7),IF(A500="Renewal",100%,0%))</f>
        <v>2.6599999999999999E-2</v>
      </c>
      <c r="U500" s="68">
        <f t="shared" si="7"/>
        <v>5565.6243999999997</v>
      </c>
    </row>
    <row r="501" spans="1:21" s="41" customFormat="1" ht="13.8" x14ac:dyDescent="0.3">
      <c r="A501" s="115" t="s">
        <v>21</v>
      </c>
      <c r="B501" s="116">
        <v>2000932726</v>
      </c>
      <c r="C501" s="116">
        <v>15.016</v>
      </c>
      <c r="D501" s="117">
        <v>50.3</v>
      </c>
      <c r="E501" s="117"/>
      <c r="F501" s="117">
        <v>375</v>
      </c>
      <c r="G501" s="117">
        <v>600</v>
      </c>
      <c r="H501" s="123"/>
      <c r="I501" s="117" t="s">
        <v>122</v>
      </c>
      <c r="J501" s="115">
        <v>377</v>
      </c>
      <c r="K501" s="115" t="s">
        <v>23</v>
      </c>
      <c r="L501" s="117" t="s">
        <v>24</v>
      </c>
      <c r="M501" s="66">
        <v>191687</v>
      </c>
      <c r="N501" s="66">
        <v>3807</v>
      </c>
      <c r="O501" s="66">
        <v>65174</v>
      </c>
      <c r="P501" s="66">
        <v>256861</v>
      </c>
      <c r="Q501" s="67">
        <v>0.4</v>
      </c>
      <c r="R501" s="66">
        <v>102744</v>
      </c>
      <c r="S501" s="66">
        <v>359606</v>
      </c>
      <c r="T501" s="106">
        <f>IF(A501="Upgrade",IF(OR(H501=4,H501=5),_xlfn.XLOOKUP(I501,'Renewal Rates'!$A$22:$A$27,'Renewal Rates'!$B$22:$B$27,'Renewal Rates'!$B$27,0),'Renewal Rates'!$F$7),IF(A501="Renewal",100%,0%))</f>
        <v>2.6599999999999999E-2</v>
      </c>
      <c r="U501" s="68">
        <f t="shared" si="7"/>
        <v>9565.5195999999996</v>
      </c>
    </row>
    <row r="502" spans="1:21" s="41" customFormat="1" ht="13.8" x14ac:dyDescent="0.3">
      <c r="A502" s="115" t="s">
        <v>21</v>
      </c>
      <c r="B502" s="116">
        <v>2000248579</v>
      </c>
      <c r="C502" s="116">
        <v>15.015000000000001</v>
      </c>
      <c r="D502" s="117">
        <v>21</v>
      </c>
      <c r="E502" s="117"/>
      <c r="F502" s="117">
        <v>300</v>
      </c>
      <c r="G502" s="117">
        <v>525</v>
      </c>
      <c r="H502" s="123"/>
      <c r="I502" s="117" t="s">
        <v>122</v>
      </c>
      <c r="J502" s="115">
        <v>377</v>
      </c>
      <c r="K502" s="115" t="s">
        <v>23</v>
      </c>
      <c r="L502" s="117" t="s">
        <v>24</v>
      </c>
      <c r="M502" s="66">
        <v>81684</v>
      </c>
      <c r="N502" s="66">
        <v>3892</v>
      </c>
      <c r="O502" s="66">
        <v>27772</v>
      </c>
      <c r="P502" s="66">
        <v>109456</v>
      </c>
      <c r="Q502" s="67">
        <v>0.4</v>
      </c>
      <c r="R502" s="66">
        <v>43782</v>
      </c>
      <c r="S502" s="66">
        <v>153238</v>
      </c>
      <c r="T502" s="106">
        <f>IF(A502="Upgrade",IF(OR(H502=4,H502=5),_xlfn.XLOOKUP(I502,'Renewal Rates'!$A$22:$A$27,'Renewal Rates'!$B$22:$B$27,'Renewal Rates'!$B$27,0),'Renewal Rates'!$F$7),IF(A502="Renewal",100%,0%))</f>
        <v>2.6599999999999999E-2</v>
      </c>
      <c r="U502" s="68">
        <f t="shared" si="7"/>
        <v>4076.1307999999999</v>
      </c>
    </row>
    <row r="503" spans="1:21" s="41" customFormat="1" ht="13.8" x14ac:dyDescent="0.3">
      <c r="A503" s="115" t="s">
        <v>21</v>
      </c>
      <c r="B503" s="116">
        <v>3000176317</v>
      </c>
      <c r="C503" s="116">
        <v>15.007999999999999</v>
      </c>
      <c r="D503" s="117">
        <v>19.3</v>
      </c>
      <c r="E503" s="117"/>
      <c r="F503" s="117">
        <v>300</v>
      </c>
      <c r="G503" s="117">
        <v>375</v>
      </c>
      <c r="H503" s="123">
        <v>4</v>
      </c>
      <c r="I503" s="117">
        <v>1</v>
      </c>
      <c r="J503" s="115">
        <v>377</v>
      </c>
      <c r="K503" s="115" t="s">
        <v>23</v>
      </c>
      <c r="L503" s="117" t="s">
        <v>24</v>
      </c>
      <c r="M503" s="66">
        <v>78595</v>
      </c>
      <c r="N503" s="66">
        <v>4082</v>
      </c>
      <c r="O503" s="66">
        <v>26722</v>
      </c>
      <c r="P503" s="66">
        <v>105317</v>
      </c>
      <c r="Q503" s="67">
        <v>0.4</v>
      </c>
      <c r="R503" s="66">
        <v>42127</v>
      </c>
      <c r="S503" s="66">
        <v>147444</v>
      </c>
      <c r="T503" s="106">
        <f>IF(A503="Upgrade",IF(OR(H503=4,H503=5),_xlfn.XLOOKUP(I503,'Renewal Rates'!$A$22:$A$27,'Renewal Rates'!$B$22:$B$27,'Renewal Rates'!$B$27,0),'Renewal Rates'!$F$7),IF(A503="Renewal",100%,0%))</f>
        <v>0</v>
      </c>
      <c r="U503" s="68">
        <f t="shared" si="7"/>
        <v>0</v>
      </c>
    </row>
    <row r="504" spans="1:21" s="41" customFormat="1" ht="13.8" x14ac:dyDescent="0.3">
      <c r="A504" s="115" t="s">
        <v>21</v>
      </c>
      <c r="B504" s="116">
        <v>2000521461</v>
      </c>
      <c r="C504" s="116">
        <v>15.007999999999999</v>
      </c>
      <c r="D504" s="117">
        <v>6.7</v>
      </c>
      <c r="E504" s="117"/>
      <c r="F504" s="117">
        <v>300</v>
      </c>
      <c r="G504" s="117">
        <v>375</v>
      </c>
      <c r="H504" s="123">
        <v>4</v>
      </c>
      <c r="I504" s="117">
        <v>1</v>
      </c>
      <c r="J504" s="115">
        <v>377</v>
      </c>
      <c r="K504" s="115" t="s">
        <v>23</v>
      </c>
      <c r="L504" s="117" t="s">
        <v>24</v>
      </c>
      <c r="M504" s="66">
        <v>42185</v>
      </c>
      <c r="N504" s="66">
        <v>6319</v>
      </c>
      <c r="O504" s="66">
        <v>14343</v>
      </c>
      <c r="P504" s="66">
        <v>56528</v>
      </c>
      <c r="Q504" s="67">
        <v>0.4</v>
      </c>
      <c r="R504" s="66">
        <v>22611</v>
      </c>
      <c r="S504" s="66">
        <v>79139</v>
      </c>
      <c r="T504" s="106">
        <f>IF(A504="Upgrade",IF(OR(H504=4,H504=5),_xlfn.XLOOKUP(I504,'Renewal Rates'!$A$22:$A$27,'Renewal Rates'!$B$22:$B$27,'Renewal Rates'!$B$27,0),'Renewal Rates'!$F$7),IF(A504="Renewal",100%,0%))</f>
        <v>0</v>
      </c>
      <c r="U504" s="68">
        <f t="shared" si="7"/>
        <v>0</v>
      </c>
    </row>
    <row r="505" spans="1:21" s="41" customFormat="1" ht="13.8" x14ac:dyDescent="0.3">
      <c r="A505" s="115" t="s">
        <v>21</v>
      </c>
      <c r="B505" s="116">
        <v>2000474102</v>
      </c>
      <c r="C505" s="116">
        <v>15.007999999999999</v>
      </c>
      <c r="D505" s="117">
        <v>49.7</v>
      </c>
      <c r="E505" s="117"/>
      <c r="F505" s="117">
        <v>300</v>
      </c>
      <c r="G505" s="117">
        <v>375</v>
      </c>
      <c r="H505" s="123"/>
      <c r="I505" s="117" t="s">
        <v>122</v>
      </c>
      <c r="J505" s="115">
        <v>377</v>
      </c>
      <c r="K505" s="115" t="s">
        <v>23</v>
      </c>
      <c r="L505" s="117" t="s">
        <v>24</v>
      </c>
      <c r="M505" s="66">
        <v>114577</v>
      </c>
      <c r="N505" s="66">
        <v>2304</v>
      </c>
      <c r="O505" s="66">
        <v>38956</v>
      </c>
      <c r="P505" s="66">
        <v>153533</v>
      </c>
      <c r="Q505" s="67">
        <v>0.4</v>
      </c>
      <c r="R505" s="66">
        <v>61413</v>
      </c>
      <c r="S505" s="66">
        <v>214946</v>
      </c>
      <c r="T505" s="106">
        <f>IF(A505="Upgrade",IF(OR(H505=4,H505=5),_xlfn.XLOOKUP(I505,'Renewal Rates'!$A$22:$A$27,'Renewal Rates'!$B$22:$B$27,'Renewal Rates'!$B$27,0),'Renewal Rates'!$F$7),IF(A505="Renewal",100%,0%))</f>
        <v>2.6599999999999999E-2</v>
      </c>
      <c r="U505" s="68">
        <f t="shared" si="7"/>
        <v>5717.5635999999995</v>
      </c>
    </row>
    <row r="506" spans="1:21" s="41" customFormat="1" ht="13.8" x14ac:dyDescent="0.3">
      <c r="A506" s="115" t="s">
        <v>25</v>
      </c>
      <c r="B506" s="116" t="s">
        <v>22</v>
      </c>
      <c r="C506" s="116">
        <v>16.004000000000001</v>
      </c>
      <c r="D506" s="117"/>
      <c r="E506" s="117">
        <v>99.6</v>
      </c>
      <c r="F506" s="117"/>
      <c r="G506" s="117">
        <v>450</v>
      </c>
      <c r="H506" s="123"/>
      <c r="I506" s="117" t="s">
        <v>122</v>
      </c>
      <c r="J506" s="115">
        <v>376</v>
      </c>
      <c r="K506" s="115" t="s">
        <v>23</v>
      </c>
      <c r="L506" s="117" t="s">
        <v>24</v>
      </c>
      <c r="M506" s="66">
        <v>267741</v>
      </c>
      <c r="N506" s="66">
        <v>2687</v>
      </c>
      <c r="O506" s="66">
        <v>91032</v>
      </c>
      <c r="P506" s="66">
        <v>358773</v>
      </c>
      <c r="Q506" s="67">
        <v>0.4</v>
      </c>
      <c r="R506" s="66">
        <v>143509</v>
      </c>
      <c r="S506" s="66">
        <v>502282</v>
      </c>
      <c r="T506" s="106">
        <f>IF(A506="Upgrade",IF(OR(H506=4,H506=5),_xlfn.XLOOKUP(I506,'Renewal Rates'!$A$22:$A$27,'Renewal Rates'!$B$22:$B$27,'Renewal Rates'!$B$27,0),'Renewal Rates'!$F$7),IF(A506="Renewal",100%,0%))</f>
        <v>0</v>
      </c>
      <c r="U506" s="68">
        <f t="shared" si="7"/>
        <v>0</v>
      </c>
    </row>
    <row r="507" spans="1:21" s="41" customFormat="1" ht="13.8" x14ac:dyDescent="0.3">
      <c r="A507" s="115" t="s">
        <v>25</v>
      </c>
      <c r="B507" s="116" t="s">
        <v>22</v>
      </c>
      <c r="C507" s="116">
        <v>16.006</v>
      </c>
      <c r="D507" s="117"/>
      <c r="E507" s="117">
        <v>31.8</v>
      </c>
      <c r="F507" s="117"/>
      <c r="G507" s="117">
        <v>300</v>
      </c>
      <c r="H507" s="123"/>
      <c r="I507" s="117" t="s">
        <v>122</v>
      </c>
      <c r="J507" s="115">
        <v>376</v>
      </c>
      <c r="K507" s="115" t="s">
        <v>23</v>
      </c>
      <c r="L507" s="117" t="s">
        <v>24</v>
      </c>
      <c r="M507" s="66">
        <v>80961</v>
      </c>
      <c r="N507" s="66">
        <v>2549</v>
      </c>
      <c r="O507" s="66">
        <v>27527</v>
      </c>
      <c r="P507" s="66">
        <v>108488</v>
      </c>
      <c r="Q507" s="67">
        <v>0.4</v>
      </c>
      <c r="R507" s="66">
        <v>43395</v>
      </c>
      <c r="S507" s="66">
        <v>151883</v>
      </c>
      <c r="T507" s="106">
        <f>IF(A507="Upgrade",IF(OR(H507=4,H507=5),_xlfn.XLOOKUP(I507,'Renewal Rates'!$A$22:$A$27,'Renewal Rates'!$B$22:$B$27,'Renewal Rates'!$B$27,0),'Renewal Rates'!$F$7),IF(A507="Renewal",100%,0%))</f>
        <v>0</v>
      </c>
      <c r="U507" s="68">
        <f t="shared" si="7"/>
        <v>0</v>
      </c>
    </row>
    <row r="508" spans="1:21" s="41" customFormat="1" ht="13.8" x14ac:dyDescent="0.3">
      <c r="A508" s="115" t="s">
        <v>21</v>
      </c>
      <c r="B508" s="116">
        <v>2000790531</v>
      </c>
      <c r="C508" s="116">
        <v>16.013999999999999</v>
      </c>
      <c r="D508" s="117">
        <v>20.7</v>
      </c>
      <c r="E508" s="117"/>
      <c r="F508" s="117">
        <v>300</v>
      </c>
      <c r="G508" s="117">
        <v>750</v>
      </c>
      <c r="H508" s="123"/>
      <c r="I508" s="117" t="s">
        <v>122</v>
      </c>
      <c r="J508" s="115">
        <v>376</v>
      </c>
      <c r="K508" s="115" t="s">
        <v>23</v>
      </c>
      <c r="L508" s="117" t="s">
        <v>24</v>
      </c>
      <c r="M508" s="66">
        <v>139909</v>
      </c>
      <c r="N508" s="66">
        <v>6773</v>
      </c>
      <c r="O508" s="66">
        <v>47569</v>
      </c>
      <c r="P508" s="66">
        <v>187478</v>
      </c>
      <c r="Q508" s="67">
        <v>0.4</v>
      </c>
      <c r="R508" s="66">
        <v>74991</v>
      </c>
      <c r="S508" s="66">
        <v>262469</v>
      </c>
      <c r="T508" s="106">
        <f>IF(A508="Upgrade",IF(OR(H508=4,H508=5),_xlfn.XLOOKUP(I508,'Renewal Rates'!$A$22:$A$27,'Renewal Rates'!$B$22:$B$27,'Renewal Rates'!$B$27,0),'Renewal Rates'!$F$7),IF(A508="Renewal",100%,0%))</f>
        <v>2.6599999999999999E-2</v>
      </c>
      <c r="U508" s="68">
        <f t="shared" si="7"/>
        <v>6981.6754000000001</v>
      </c>
    </row>
    <row r="509" spans="1:21" s="41" customFormat="1" ht="13.8" x14ac:dyDescent="0.3">
      <c r="A509" s="115" t="s">
        <v>21</v>
      </c>
      <c r="B509" s="116">
        <v>3000042696</v>
      </c>
      <c r="C509" s="116">
        <v>16.013999999999999</v>
      </c>
      <c r="D509" s="117">
        <v>44.6</v>
      </c>
      <c r="E509" s="117"/>
      <c r="F509" s="117">
        <v>300</v>
      </c>
      <c r="G509" s="117">
        <v>750</v>
      </c>
      <c r="H509" s="123">
        <v>4</v>
      </c>
      <c r="I509" s="117">
        <v>3</v>
      </c>
      <c r="J509" s="115">
        <v>376</v>
      </c>
      <c r="K509" s="115" t="s">
        <v>23</v>
      </c>
      <c r="L509" s="117" t="s">
        <v>24</v>
      </c>
      <c r="M509" s="66">
        <v>187948</v>
      </c>
      <c r="N509" s="66">
        <v>4214</v>
      </c>
      <c r="O509" s="66">
        <v>63902</v>
      </c>
      <c r="P509" s="66">
        <v>251850</v>
      </c>
      <c r="Q509" s="67">
        <v>0.4</v>
      </c>
      <c r="R509" s="66">
        <v>100740</v>
      </c>
      <c r="S509" s="66">
        <v>352590</v>
      </c>
      <c r="T509" s="106">
        <f>IF(A509="Upgrade",IF(OR(H509=4,H509=5),_xlfn.XLOOKUP(I509,'Renewal Rates'!$A$22:$A$27,'Renewal Rates'!$B$22:$B$27,'Renewal Rates'!$B$27,0),'Renewal Rates'!$F$7),IF(A509="Renewal",100%,0%))</f>
        <v>0.21</v>
      </c>
      <c r="U509" s="68">
        <f t="shared" si="7"/>
        <v>74043.899999999994</v>
      </c>
    </row>
    <row r="510" spans="1:21" s="41" customFormat="1" ht="13.8" x14ac:dyDescent="0.3">
      <c r="A510" s="115" t="s">
        <v>21</v>
      </c>
      <c r="B510" s="116">
        <v>3000042697</v>
      </c>
      <c r="C510" s="116">
        <v>16.015000000000001</v>
      </c>
      <c r="D510" s="117">
        <v>5.0999999999999996</v>
      </c>
      <c r="E510" s="117"/>
      <c r="F510" s="117">
        <v>225</v>
      </c>
      <c r="G510" s="117">
        <v>675</v>
      </c>
      <c r="H510" s="123"/>
      <c r="I510" s="117" t="s">
        <v>122</v>
      </c>
      <c r="J510" s="115">
        <v>376</v>
      </c>
      <c r="K510" s="115" t="s">
        <v>23</v>
      </c>
      <c r="L510" s="117" t="s">
        <v>24</v>
      </c>
      <c r="M510" s="66">
        <v>56152</v>
      </c>
      <c r="N510" s="66">
        <v>10943</v>
      </c>
      <c r="O510" s="66">
        <v>19092</v>
      </c>
      <c r="P510" s="66">
        <v>75244</v>
      </c>
      <c r="Q510" s="67">
        <v>0.4</v>
      </c>
      <c r="R510" s="66">
        <v>30098</v>
      </c>
      <c r="S510" s="66">
        <v>105342</v>
      </c>
      <c r="T510" s="106">
        <f>IF(A510="Upgrade",IF(OR(H510=4,H510=5),_xlfn.XLOOKUP(I510,'Renewal Rates'!$A$22:$A$27,'Renewal Rates'!$B$22:$B$27,'Renewal Rates'!$B$27,0),'Renewal Rates'!$F$7),IF(A510="Renewal",100%,0%))</f>
        <v>2.6599999999999999E-2</v>
      </c>
      <c r="U510" s="68">
        <f t="shared" si="7"/>
        <v>2802.0971999999997</v>
      </c>
    </row>
    <row r="511" spans="1:21" s="41" customFormat="1" ht="13.8" x14ac:dyDescent="0.3">
      <c r="A511" s="115" t="s">
        <v>21</v>
      </c>
      <c r="B511" s="116">
        <v>2000692068</v>
      </c>
      <c r="C511" s="116">
        <v>16.015000000000001</v>
      </c>
      <c r="D511" s="117">
        <v>2.4</v>
      </c>
      <c r="E511" s="117"/>
      <c r="F511" s="117">
        <v>225</v>
      </c>
      <c r="G511" s="117">
        <v>675</v>
      </c>
      <c r="H511" s="123"/>
      <c r="I511" s="117" t="s">
        <v>122</v>
      </c>
      <c r="J511" s="115">
        <v>376</v>
      </c>
      <c r="K511" s="115" t="s">
        <v>23</v>
      </c>
      <c r="L511" s="117" t="s">
        <v>24</v>
      </c>
      <c r="M511" s="66">
        <v>52909</v>
      </c>
      <c r="N511" s="66">
        <v>21862</v>
      </c>
      <c r="O511" s="66">
        <v>17989</v>
      </c>
      <c r="P511" s="66">
        <v>70898</v>
      </c>
      <c r="Q511" s="67">
        <v>0.4</v>
      </c>
      <c r="R511" s="66">
        <v>28359</v>
      </c>
      <c r="S511" s="66">
        <v>99257</v>
      </c>
      <c r="T511" s="106">
        <f>IF(A511="Upgrade",IF(OR(H511=4,H511=5),_xlfn.XLOOKUP(I511,'Renewal Rates'!$A$22:$A$27,'Renewal Rates'!$B$22:$B$27,'Renewal Rates'!$B$27,0),'Renewal Rates'!$F$7),IF(A511="Renewal",100%,0%))</f>
        <v>2.6599999999999999E-2</v>
      </c>
      <c r="U511" s="68">
        <f t="shared" si="7"/>
        <v>2640.2361999999998</v>
      </c>
    </row>
    <row r="512" spans="1:21" s="41" customFormat="1" ht="13.8" x14ac:dyDescent="0.3">
      <c r="A512" s="115" t="s">
        <v>21</v>
      </c>
      <c r="B512" s="116">
        <v>2000398311</v>
      </c>
      <c r="C512" s="116">
        <v>16.015000000000001</v>
      </c>
      <c r="D512" s="117">
        <v>7.8</v>
      </c>
      <c r="E512" s="117"/>
      <c r="F512" s="117">
        <v>300</v>
      </c>
      <c r="G512" s="117">
        <v>675</v>
      </c>
      <c r="H512" s="123"/>
      <c r="I512" s="117" t="s">
        <v>122</v>
      </c>
      <c r="J512" s="115">
        <v>376</v>
      </c>
      <c r="K512" s="115" t="s">
        <v>23</v>
      </c>
      <c r="L512" s="117" t="s">
        <v>24</v>
      </c>
      <c r="M512" s="66">
        <v>59289</v>
      </c>
      <c r="N512" s="66">
        <v>7647</v>
      </c>
      <c r="O512" s="66">
        <v>20158</v>
      </c>
      <c r="P512" s="66">
        <v>79447</v>
      </c>
      <c r="Q512" s="67">
        <v>0.4</v>
      </c>
      <c r="R512" s="66">
        <v>31779</v>
      </c>
      <c r="S512" s="66">
        <v>111226</v>
      </c>
      <c r="T512" s="106">
        <f>IF(A512="Upgrade",IF(OR(H512=4,H512=5),_xlfn.XLOOKUP(I512,'Renewal Rates'!$A$22:$A$27,'Renewal Rates'!$B$22:$B$27,'Renewal Rates'!$B$27,0),'Renewal Rates'!$F$7),IF(A512="Renewal",100%,0%))</f>
        <v>2.6599999999999999E-2</v>
      </c>
      <c r="U512" s="68">
        <f t="shared" si="7"/>
        <v>2958.6115999999997</v>
      </c>
    </row>
    <row r="513" spans="1:21" s="41" customFormat="1" ht="13.8" x14ac:dyDescent="0.3">
      <c r="A513" s="115" t="s">
        <v>21</v>
      </c>
      <c r="B513" s="116">
        <v>3000019770</v>
      </c>
      <c r="C513" s="116">
        <v>16.015000000000001</v>
      </c>
      <c r="D513" s="117">
        <v>48.7</v>
      </c>
      <c r="E513" s="117"/>
      <c r="F513" s="117">
        <v>225</v>
      </c>
      <c r="G513" s="117">
        <v>675</v>
      </c>
      <c r="H513" s="123"/>
      <c r="I513" s="117" t="s">
        <v>122</v>
      </c>
      <c r="J513" s="115">
        <v>376</v>
      </c>
      <c r="K513" s="115" t="s">
        <v>23</v>
      </c>
      <c r="L513" s="117" t="s">
        <v>24</v>
      </c>
      <c r="M513" s="66">
        <v>186054</v>
      </c>
      <c r="N513" s="66">
        <v>3819</v>
      </c>
      <c r="O513" s="66">
        <v>63259</v>
      </c>
      <c r="P513" s="66">
        <v>249313</v>
      </c>
      <c r="Q513" s="67">
        <v>0.4</v>
      </c>
      <c r="R513" s="66">
        <v>99725</v>
      </c>
      <c r="S513" s="66">
        <v>349038</v>
      </c>
      <c r="T513" s="106">
        <f>IF(A513="Upgrade",IF(OR(H513=4,H513=5),_xlfn.XLOOKUP(I513,'Renewal Rates'!$A$22:$A$27,'Renewal Rates'!$B$22:$B$27,'Renewal Rates'!$B$27,0),'Renewal Rates'!$F$7),IF(A513="Renewal",100%,0%))</f>
        <v>2.6599999999999999E-2</v>
      </c>
      <c r="U513" s="68">
        <f t="shared" si="7"/>
        <v>9284.4107999999997</v>
      </c>
    </row>
    <row r="514" spans="1:21" s="41" customFormat="1" ht="13.8" x14ac:dyDescent="0.3">
      <c r="A514" s="115" t="s">
        <v>21</v>
      </c>
      <c r="B514" s="116">
        <v>3000019769</v>
      </c>
      <c r="C514" s="116">
        <v>16.015000000000001</v>
      </c>
      <c r="D514" s="117">
        <v>12.3</v>
      </c>
      <c r="E514" s="117"/>
      <c r="F514" s="117">
        <v>225</v>
      </c>
      <c r="G514" s="117">
        <v>675</v>
      </c>
      <c r="H514" s="123"/>
      <c r="I514" s="117" t="s">
        <v>122</v>
      </c>
      <c r="J514" s="115">
        <v>376</v>
      </c>
      <c r="K514" s="115" t="s">
        <v>23</v>
      </c>
      <c r="L514" s="117" t="s">
        <v>24</v>
      </c>
      <c r="M514" s="66">
        <v>84188</v>
      </c>
      <c r="N514" s="66">
        <v>6835</v>
      </c>
      <c r="O514" s="66">
        <v>28624</v>
      </c>
      <c r="P514" s="66">
        <v>112812</v>
      </c>
      <c r="Q514" s="67">
        <v>0.4</v>
      </c>
      <c r="R514" s="66">
        <v>45125</v>
      </c>
      <c r="S514" s="66">
        <v>157937</v>
      </c>
      <c r="T514" s="106">
        <f>IF(A514="Upgrade",IF(OR(H514=4,H514=5),_xlfn.XLOOKUP(I514,'Renewal Rates'!$A$22:$A$27,'Renewal Rates'!$B$22:$B$27,'Renewal Rates'!$B$27,0),'Renewal Rates'!$F$7),IF(A514="Renewal",100%,0%))</f>
        <v>2.6599999999999999E-2</v>
      </c>
      <c r="U514" s="68">
        <f t="shared" si="7"/>
        <v>4201.1242000000002</v>
      </c>
    </row>
    <row r="515" spans="1:21" s="41" customFormat="1" ht="13.8" x14ac:dyDescent="0.3">
      <c r="A515" s="115" t="s">
        <v>25</v>
      </c>
      <c r="B515" s="116" t="s">
        <v>22</v>
      </c>
      <c r="C515" s="116">
        <v>16.004999999999999</v>
      </c>
      <c r="D515" s="117"/>
      <c r="E515" s="117">
        <v>198.7</v>
      </c>
      <c r="F515" s="117"/>
      <c r="G515" s="117">
        <v>600</v>
      </c>
      <c r="H515" s="123"/>
      <c r="I515" s="117" t="s">
        <v>122</v>
      </c>
      <c r="J515" s="115">
        <v>376</v>
      </c>
      <c r="K515" s="115" t="s">
        <v>23</v>
      </c>
      <c r="L515" s="117" t="s">
        <v>24</v>
      </c>
      <c r="M515" s="66">
        <v>634629</v>
      </c>
      <c r="N515" s="66">
        <v>3194</v>
      </c>
      <c r="O515" s="66">
        <v>215774</v>
      </c>
      <c r="P515" s="66">
        <v>850403</v>
      </c>
      <c r="Q515" s="67">
        <v>0.4</v>
      </c>
      <c r="R515" s="66">
        <v>340161</v>
      </c>
      <c r="S515" s="66">
        <v>1190564</v>
      </c>
      <c r="T515" s="106">
        <f>IF(A515="Upgrade",IF(OR(H515=4,H515=5),_xlfn.XLOOKUP(I515,'Renewal Rates'!$A$22:$A$27,'Renewal Rates'!$B$22:$B$27,'Renewal Rates'!$B$27,0),'Renewal Rates'!$F$7),IF(A515="Renewal",100%,0%))</f>
        <v>0</v>
      </c>
      <c r="U515" s="68">
        <f t="shared" si="7"/>
        <v>0</v>
      </c>
    </row>
    <row r="516" spans="1:21" s="41" customFormat="1" ht="13.8" x14ac:dyDescent="0.3">
      <c r="A516" s="115" t="s">
        <v>21</v>
      </c>
      <c r="B516" s="116">
        <v>2000776415</v>
      </c>
      <c r="C516" s="116">
        <v>16.013000000000002</v>
      </c>
      <c r="D516" s="117">
        <v>83.1</v>
      </c>
      <c r="E516" s="117"/>
      <c r="F516" s="117">
        <v>525</v>
      </c>
      <c r="G516" s="117">
        <v>1050</v>
      </c>
      <c r="H516" s="123"/>
      <c r="I516" s="117" t="s">
        <v>122</v>
      </c>
      <c r="J516" s="115">
        <v>376</v>
      </c>
      <c r="K516" s="115" t="s">
        <v>23</v>
      </c>
      <c r="L516" s="117" t="s">
        <v>24</v>
      </c>
      <c r="M516" s="66">
        <v>584103</v>
      </c>
      <c r="N516" s="66">
        <v>7028</v>
      </c>
      <c r="O516" s="66">
        <v>198595</v>
      </c>
      <c r="P516" s="66">
        <v>782698</v>
      </c>
      <c r="Q516" s="67">
        <v>0.4</v>
      </c>
      <c r="R516" s="66">
        <v>313079</v>
      </c>
      <c r="S516" s="66">
        <v>1095777</v>
      </c>
      <c r="T516" s="106">
        <f>IF(A516="Upgrade",IF(OR(H516=4,H516=5),_xlfn.XLOOKUP(I516,'Renewal Rates'!$A$22:$A$27,'Renewal Rates'!$B$22:$B$27,'Renewal Rates'!$B$27,0),'Renewal Rates'!$F$7),IF(A516="Renewal",100%,0%))</f>
        <v>2.6599999999999999E-2</v>
      </c>
      <c r="U516" s="68">
        <f t="shared" ref="U516:U579" si="8">S516*T516</f>
        <v>29147.6682</v>
      </c>
    </row>
    <row r="517" spans="1:21" s="41" customFormat="1" ht="13.8" x14ac:dyDescent="0.3">
      <c r="A517" s="115" t="s">
        <v>21</v>
      </c>
      <c r="B517" s="116">
        <v>2000239910</v>
      </c>
      <c r="C517" s="116">
        <v>16.012</v>
      </c>
      <c r="D517" s="117">
        <v>53.5</v>
      </c>
      <c r="E517" s="117"/>
      <c r="F517" s="117">
        <v>300</v>
      </c>
      <c r="G517" s="117">
        <v>600</v>
      </c>
      <c r="H517" s="123">
        <v>4</v>
      </c>
      <c r="I517" s="117">
        <v>5</v>
      </c>
      <c r="J517" s="115">
        <v>376</v>
      </c>
      <c r="K517" s="115" t="s">
        <v>23</v>
      </c>
      <c r="L517" s="117" t="s">
        <v>24</v>
      </c>
      <c r="M517" s="66">
        <v>194896</v>
      </c>
      <c r="N517" s="66">
        <v>3646</v>
      </c>
      <c r="O517" s="66">
        <v>66265</v>
      </c>
      <c r="P517" s="66">
        <v>261161</v>
      </c>
      <c r="Q517" s="67">
        <v>0.4</v>
      </c>
      <c r="R517" s="66">
        <v>104464</v>
      </c>
      <c r="S517" s="66">
        <v>365625</v>
      </c>
      <c r="T517" s="106">
        <f>IF(A517="Upgrade",IF(OR(H517=4,H517=5),_xlfn.XLOOKUP(I517,'Renewal Rates'!$A$22:$A$27,'Renewal Rates'!$B$22:$B$27,'Renewal Rates'!$B$27,0),'Renewal Rates'!$F$7),IF(A517="Renewal",100%,0%))</f>
        <v>0.7</v>
      </c>
      <c r="U517" s="68">
        <f t="shared" si="8"/>
        <v>255937.49999999997</v>
      </c>
    </row>
    <row r="518" spans="1:21" s="41" customFormat="1" ht="13.8" x14ac:dyDescent="0.3">
      <c r="A518" s="115" t="s">
        <v>21</v>
      </c>
      <c r="B518" s="116">
        <v>2000250793</v>
      </c>
      <c r="C518" s="116">
        <v>16.012</v>
      </c>
      <c r="D518" s="117">
        <v>30.3</v>
      </c>
      <c r="E518" s="117"/>
      <c r="F518" s="117">
        <v>375</v>
      </c>
      <c r="G518" s="117">
        <v>600</v>
      </c>
      <c r="H518" s="123"/>
      <c r="I518" s="117" t="s">
        <v>122</v>
      </c>
      <c r="J518" s="115">
        <v>376</v>
      </c>
      <c r="K518" s="115" t="s">
        <v>23</v>
      </c>
      <c r="L518" s="117" t="s">
        <v>24</v>
      </c>
      <c r="M518" s="66">
        <v>113691</v>
      </c>
      <c r="N518" s="66">
        <v>3750</v>
      </c>
      <c r="O518" s="66">
        <v>38655</v>
      </c>
      <c r="P518" s="66">
        <v>152346</v>
      </c>
      <c r="Q518" s="67">
        <v>0.4</v>
      </c>
      <c r="R518" s="66">
        <v>60938</v>
      </c>
      <c r="S518" s="66">
        <v>213284</v>
      </c>
      <c r="T518" s="106">
        <f>IF(A518="Upgrade",IF(OR(H518=4,H518=5),_xlfn.XLOOKUP(I518,'Renewal Rates'!$A$22:$A$27,'Renewal Rates'!$B$22:$B$27,'Renewal Rates'!$B$27,0),'Renewal Rates'!$F$7),IF(A518="Renewal",100%,0%))</f>
        <v>2.6599999999999999E-2</v>
      </c>
      <c r="U518" s="68">
        <f t="shared" si="8"/>
        <v>5673.3543999999993</v>
      </c>
    </row>
    <row r="519" spans="1:21" s="41" customFormat="1" ht="13.8" x14ac:dyDescent="0.3">
      <c r="A519" s="115" t="s">
        <v>21</v>
      </c>
      <c r="B519" s="116">
        <v>3000052461</v>
      </c>
      <c r="C519" s="116">
        <v>16.010999999999999</v>
      </c>
      <c r="D519" s="117">
        <v>23</v>
      </c>
      <c r="E519" s="117"/>
      <c r="F519" s="117">
        <v>150</v>
      </c>
      <c r="G519" s="117">
        <v>600</v>
      </c>
      <c r="H519" s="123"/>
      <c r="I519" s="117" t="s">
        <v>122</v>
      </c>
      <c r="J519" s="115">
        <v>376</v>
      </c>
      <c r="K519" s="115" t="s">
        <v>23</v>
      </c>
      <c r="L519" s="117" t="s">
        <v>24</v>
      </c>
      <c r="M519" s="66">
        <v>86641</v>
      </c>
      <c r="N519" s="66">
        <v>3774</v>
      </c>
      <c r="O519" s="66">
        <v>29458</v>
      </c>
      <c r="P519" s="66">
        <v>116099</v>
      </c>
      <c r="Q519" s="67">
        <v>0.4</v>
      </c>
      <c r="R519" s="66">
        <v>46439</v>
      </c>
      <c r="S519" s="66">
        <v>162538</v>
      </c>
      <c r="T519" s="106">
        <f>IF(A519="Upgrade",IF(OR(H519=4,H519=5),_xlfn.XLOOKUP(I519,'Renewal Rates'!$A$22:$A$27,'Renewal Rates'!$B$22:$B$27,'Renewal Rates'!$B$27,0),'Renewal Rates'!$F$7),IF(A519="Renewal",100%,0%))</f>
        <v>2.6599999999999999E-2</v>
      </c>
      <c r="U519" s="68">
        <f t="shared" si="8"/>
        <v>4323.5108</v>
      </c>
    </row>
    <row r="520" spans="1:21" s="41" customFormat="1" ht="13.8" x14ac:dyDescent="0.3">
      <c r="A520" s="115" t="s">
        <v>21</v>
      </c>
      <c r="B520" s="116">
        <v>3000052451</v>
      </c>
      <c r="C520" s="116">
        <v>16.010999999999999</v>
      </c>
      <c r="D520" s="117">
        <v>13.6</v>
      </c>
      <c r="E520" s="117"/>
      <c r="F520" s="117">
        <v>150</v>
      </c>
      <c r="G520" s="117">
        <v>600</v>
      </c>
      <c r="H520" s="123"/>
      <c r="I520" s="117" t="s">
        <v>122</v>
      </c>
      <c r="J520" s="115">
        <v>376</v>
      </c>
      <c r="K520" s="115" t="s">
        <v>23</v>
      </c>
      <c r="L520" s="117" t="s">
        <v>24</v>
      </c>
      <c r="M520" s="66">
        <v>76934</v>
      </c>
      <c r="N520" s="66">
        <v>5668</v>
      </c>
      <c r="O520" s="66">
        <v>26158</v>
      </c>
      <c r="P520" s="66">
        <v>103092</v>
      </c>
      <c r="Q520" s="67">
        <v>0.4</v>
      </c>
      <c r="R520" s="66">
        <v>41237</v>
      </c>
      <c r="S520" s="66">
        <v>144329</v>
      </c>
      <c r="T520" s="106">
        <f>IF(A520="Upgrade",IF(OR(H520=4,H520=5),_xlfn.XLOOKUP(I520,'Renewal Rates'!$A$22:$A$27,'Renewal Rates'!$B$22:$B$27,'Renewal Rates'!$B$27,0),'Renewal Rates'!$F$7),IF(A520="Renewal",100%,0%))</f>
        <v>2.6599999999999999E-2</v>
      </c>
      <c r="U520" s="68">
        <f t="shared" si="8"/>
        <v>3839.1513999999997</v>
      </c>
    </row>
    <row r="521" spans="1:21" s="41" customFormat="1" ht="13.8" x14ac:dyDescent="0.3">
      <c r="A521" s="115" t="s">
        <v>21</v>
      </c>
      <c r="B521" s="116">
        <v>2000987080</v>
      </c>
      <c r="C521" s="116">
        <v>16.010999999999999</v>
      </c>
      <c r="D521" s="117">
        <v>6.4</v>
      </c>
      <c r="E521" s="117"/>
      <c r="F521" s="117">
        <v>150</v>
      </c>
      <c r="G521" s="117">
        <v>600</v>
      </c>
      <c r="H521" s="123"/>
      <c r="I521" s="117" t="s">
        <v>122</v>
      </c>
      <c r="J521" s="115">
        <v>376</v>
      </c>
      <c r="K521" s="115" t="s">
        <v>23</v>
      </c>
      <c r="L521" s="117" t="s">
        <v>24</v>
      </c>
      <c r="M521" s="66">
        <v>50091</v>
      </c>
      <c r="N521" s="66">
        <v>7812</v>
      </c>
      <c r="O521" s="66">
        <v>17031</v>
      </c>
      <c r="P521" s="66">
        <v>67122</v>
      </c>
      <c r="Q521" s="67">
        <v>0.4</v>
      </c>
      <c r="R521" s="66">
        <v>26849</v>
      </c>
      <c r="S521" s="66">
        <v>93971</v>
      </c>
      <c r="T521" s="106">
        <f>IF(A521="Upgrade",IF(OR(H521=4,H521=5),_xlfn.XLOOKUP(I521,'Renewal Rates'!$A$22:$A$27,'Renewal Rates'!$B$22:$B$27,'Renewal Rates'!$B$27,0),'Renewal Rates'!$F$7),IF(A521="Renewal",100%,0%))</f>
        <v>2.6599999999999999E-2</v>
      </c>
      <c r="U521" s="68">
        <f t="shared" si="8"/>
        <v>2499.6286</v>
      </c>
    </row>
    <row r="522" spans="1:21" s="41" customFormat="1" ht="13.8" x14ac:dyDescent="0.3">
      <c r="A522" s="115" t="s">
        <v>21</v>
      </c>
      <c r="B522" s="116">
        <v>2001002305</v>
      </c>
      <c r="C522" s="116">
        <v>16.010999999999999</v>
      </c>
      <c r="D522" s="117">
        <v>18.2</v>
      </c>
      <c r="E522" s="117"/>
      <c r="F522" s="117">
        <v>150</v>
      </c>
      <c r="G522" s="117">
        <v>600</v>
      </c>
      <c r="H522" s="123"/>
      <c r="I522" s="117" t="s">
        <v>122</v>
      </c>
      <c r="J522" s="115">
        <v>376</v>
      </c>
      <c r="K522" s="115" t="s">
        <v>23</v>
      </c>
      <c r="L522" s="117" t="s">
        <v>24</v>
      </c>
      <c r="M522" s="66">
        <v>81724</v>
      </c>
      <c r="N522" s="66">
        <v>4489</v>
      </c>
      <c r="O522" s="66">
        <v>27786</v>
      </c>
      <c r="P522" s="66">
        <v>109510</v>
      </c>
      <c r="Q522" s="67">
        <v>0.4</v>
      </c>
      <c r="R522" s="66">
        <v>43804</v>
      </c>
      <c r="S522" s="66">
        <v>153313</v>
      </c>
      <c r="T522" s="106">
        <f>IF(A522="Upgrade",IF(OR(H522=4,H522=5),_xlfn.XLOOKUP(I522,'Renewal Rates'!$A$22:$A$27,'Renewal Rates'!$B$22:$B$27,'Renewal Rates'!$B$27,0),'Renewal Rates'!$F$7),IF(A522="Renewal",100%,0%))</f>
        <v>2.6599999999999999E-2</v>
      </c>
      <c r="U522" s="68">
        <f t="shared" si="8"/>
        <v>4078.1257999999998</v>
      </c>
    </row>
    <row r="523" spans="1:21" s="41" customFormat="1" ht="13.8" x14ac:dyDescent="0.3">
      <c r="A523" s="115" t="s">
        <v>21</v>
      </c>
      <c r="B523" s="116">
        <v>2000864936</v>
      </c>
      <c r="C523" s="116">
        <v>16.010999999999999</v>
      </c>
      <c r="D523" s="117">
        <v>38.700000000000003</v>
      </c>
      <c r="E523" s="117"/>
      <c r="F523" s="117">
        <v>150</v>
      </c>
      <c r="G523" s="117">
        <v>600</v>
      </c>
      <c r="H523" s="123"/>
      <c r="I523" s="117" t="s">
        <v>122</v>
      </c>
      <c r="J523" s="115">
        <v>376</v>
      </c>
      <c r="K523" s="115" t="s">
        <v>23</v>
      </c>
      <c r="L523" s="117" t="s">
        <v>24</v>
      </c>
      <c r="M523" s="66">
        <v>141816</v>
      </c>
      <c r="N523" s="66">
        <v>3663</v>
      </c>
      <c r="O523" s="66">
        <v>48218</v>
      </c>
      <c r="P523" s="66">
        <v>190034</v>
      </c>
      <c r="Q523" s="67">
        <v>0.4</v>
      </c>
      <c r="R523" s="66">
        <v>76014</v>
      </c>
      <c r="S523" s="66">
        <v>266048</v>
      </c>
      <c r="T523" s="106">
        <f>IF(A523="Upgrade",IF(OR(H523=4,H523=5),_xlfn.XLOOKUP(I523,'Renewal Rates'!$A$22:$A$27,'Renewal Rates'!$B$22:$B$27,'Renewal Rates'!$B$27,0),'Renewal Rates'!$F$7),IF(A523="Renewal",100%,0%))</f>
        <v>2.6599999999999999E-2</v>
      </c>
      <c r="U523" s="68">
        <f t="shared" si="8"/>
        <v>7076.8768</v>
      </c>
    </row>
    <row r="524" spans="1:21" s="41" customFormat="1" ht="13.8" x14ac:dyDescent="0.3">
      <c r="A524" s="115" t="s">
        <v>21</v>
      </c>
      <c r="B524" s="116">
        <v>3000155697</v>
      </c>
      <c r="C524" s="116">
        <v>16.010999999999999</v>
      </c>
      <c r="D524" s="117">
        <v>15.7</v>
      </c>
      <c r="E524" s="117"/>
      <c r="F524" s="117">
        <v>180</v>
      </c>
      <c r="G524" s="117">
        <v>600</v>
      </c>
      <c r="H524" s="123"/>
      <c r="I524" s="117" t="s">
        <v>122</v>
      </c>
      <c r="J524" s="115">
        <v>376</v>
      </c>
      <c r="K524" s="115" t="s">
        <v>23</v>
      </c>
      <c r="L524" s="117" t="s">
        <v>24</v>
      </c>
      <c r="M524" s="66">
        <v>95469</v>
      </c>
      <c r="N524" s="66">
        <v>6098</v>
      </c>
      <c r="O524" s="66">
        <v>32459</v>
      </c>
      <c r="P524" s="66">
        <v>127928</v>
      </c>
      <c r="Q524" s="67">
        <v>0.4</v>
      </c>
      <c r="R524" s="66">
        <v>51171</v>
      </c>
      <c r="S524" s="66">
        <v>179099</v>
      </c>
      <c r="T524" s="106">
        <f>IF(A524="Upgrade",IF(OR(H524=4,H524=5),_xlfn.XLOOKUP(I524,'Renewal Rates'!$A$22:$A$27,'Renewal Rates'!$B$22:$B$27,'Renewal Rates'!$B$27,0),'Renewal Rates'!$F$7),IF(A524="Renewal",100%,0%))</f>
        <v>2.6599999999999999E-2</v>
      </c>
      <c r="U524" s="68">
        <f t="shared" si="8"/>
        <v>4764.0333999999993</v>
      </c>
    </row>
    <row r="525" spans="1:21" s="41" customFormat="1" ht="13.8" x14ac:dyDescent="0.3">
      <c r="A525" s="115" t="s">
        <v>21</v>
      </c>
      <c r="B525" s="116">
        <v>2000649014</v>
      </c>
      <c r="C525" s="116">
        <v>16.007999999999999</v>
      </c>
      <c r="D525" s="117">
        <v>59.8</v>
      </c>
      <c r="E525" s="117"/>
      <c r="F525" s="117">
        <v>600</v>
      </c>
      <c r="G525" s="117">
        <v>975</v>
      </c>
      <c r="H525" s="123"/>
      <c r="I525" s="117" t="s">
        <v>122</v>
      </c>
      <c r="J525" s="115">
        <v>376</v>
      </c>
      <c r="K525" s="115" t="s">
        <v>23</v>
      </c>
      <c r="L525" s="117" t="s">
        <v>24</v>
      </c>
      <c r="M525" s="66">
        <v>398133</v>
      </c>
      <c r="N525" s="66">
        <v>6658</v>
      </c>
      <c r="O525" s="66">
        <v>135365</v>
      </c>
      <c r="P525" s="66">
        <v>533498</v>
      </c>
      <c r="Q525" s="67">
        <v>0.4</v>
      </c>
      <c r="R525" s="66">
        <v>213399</v>
      </c>
      <c r="S525" s="66">
        <v>746897</v>
      </c>
      <c r="T525" s="106">
        <f>IF(A525="Upgrade",IF(OR(H525=4,H525=5),_xlfn.XLOOKUP(I525,'Renewal Rates'!$A$22:$A$27,'Renewal Rates'!$B$22:$B$27,'Renewal Rates'!$B$27,0),'Renewal Rates'!$F$7),IF(A525="Renewal",100%,0%))</f>
        <v>2.6599999999999999E-2</v>
      </c>
      <c r="U525" s="68">
        <f t="shared" si="8"/>
        <v>19867.460199999998</v>
      </c>
    </row>
    <row r="526" spans="1:21" s="41" customFormat="1" ht="13.8" x14ac:dyDescent="0.3">
      <c r="A526" s="115" t="s">
        <v>21</v>
      </c>
      <c r="B526" s="116">
        <v>2000563803</v>
      </c>
      <c r="C526" s="116">
        <v>16.010000000000002</v>
      </c>
      <c r="D526" s="117">
        <v>52.5</v>
      </c>
      <c r="E526" s="117"/>
      <c r="F526" s="117">
        <v>375</v>
      </c>
      <c r="G526" s="117">
        <v>825</v>
      </c>
      <c r="H526" s="123"/>
      <c r="I526" s="117" t="s">
        <v>122</v>
      </c>
      <c r="J526" s="115">
        <v>376</v>
      </c>
      <c r="K526" s="115" t="s">
        <v>23</v>
      </c>
      <c r="L526" s="117" t="s">
        <v>24</v>
      </c>
      <c r="M526" s="66">
        <v>269717</v>
      </c>
      <c r="N526" s="66">
        <v>5139</v>
      </c>
      <c r="O526" s="66">
        <v>91704</v>
      </c>
      <c r="P526" s="66">
        <v>361420</v>
      </c>
      <c r="Q526" s="67">
        <v>0.4</v>
      </c>
      <c r="R526" s="66">
        <v>144568</v>
      </c>
      <c r="S526" s="66">
        <v>505988</v>
      </c>
      <c r="T526" s="106">
        <f>IF(A526="Upgrade",IF(OR(H526=4,H526=5),_xlfn.XLOOKUP(I526,'Renewal Rates'!$A$22:$A$27,'Renewal Rates'!$B$22:$B$27,'Renewal Rates'!$B$27,0),'Renewal Rates'!$F$7),IF(A526="Renewal",100%,0%))</f>
        <v>2.6599999999999999E-2</v>
      </c>
      <c r="U526" s="68">
        <f t="shared" si="8"/>
        <v>13459.280799999999</v>
      </c>
    </row>
    <row r="527" spans="1:21" s="41" customFormat="1" ht="13.8" x14ac:dyDescent="0.3">
      <c r="A527" s="115" t="s">
        <v>21</v>
      </c>
      <c r="B527" s="116">
        <v>2000714870</v>
      </c>
      <c r="C527" s="116">
        <v>16.010000000000002</v>
      </c>
      <c r="D527" s="117">
        <v>28.6</v>
      </c>
      <c r="E527" s="117"/>
      <c r="F527" s="117">
        <v>375</v>
      </c>
      <c r="G527" s="117">
        <v>825</v>
      </c>
      <c r="H527" s="123">
        <v>4</v>
      </c>
      <c r="I527" s="117">
        <v>2</v>
      </c>
      <c r="J527" s="115">
        <v>376</v>
      </c>
      <c r="K527" s="115" t="s">
        <v>23</v>
      </c>
      <c r="L527" s="117" t="s">
        <v>24</v>
      </c>
      <c r="M527" s="66">
        <v>174408</v>
      </c>
      <c r="N527" s="66">
        <v>6094</v>
      </c>
      <c r="O527" s="66">
        <v>59299</v>
      </c>
      <c r="P527" s="66">
        <v>233707</v>
      </c>
      <c r="Q527" s="67">
        <v>0.4</v>
      </c>
      <c r="R527" s="66">
        <v>93483</v>
      </c>
      <c r="S527" s="66">
        <v>327190</v>
      </c>
      <c r="T527" s="106">
        <f>IF(A527="Upgrade",IF(OR(H527=4,H527=5),_xlfn.XLOOKUP(I527,'Renewal Rates'!$A$22:$A$27,'Renewal Rates'!$B$22:$B$27,'Renewal Rates'!$B$27,0),'Renewal Rates'!$F$7),IF(A527="Renewal",100%,0%))</f>
        <v>0</v>
      </c>
      <c r="U527" s="68">
        <f t="shared" si="8"/>
        <v>0</v>
      </c>
    </row>
    <row r="528" spans="1:21" s="41" customFormat="1" ht="13.8" x14ac:dyDescent="0.3">
      <c r="A528" s="115" t="s">
        <v>21</v>
      </c>
      <c r="B528" s="116">
        <v>2000322992</v>
      </c>
      <c r="C528" s="116">
        <v>16.010000000000002</v>
      </c>
      <c r="D528" s="117">
        <v>59.5</v>
      </c>
      <c r="E528" s="117"/>
      <c r="F528" s="117">
        <v>300</v>
      </c>
      <c r="G528" s="117">
        <v>825</v>
      </c>
      <c r="H528" s="123">
        <v>4</v>
      </c>
      <c r="I528" s="117">
        <v>3</v>
      </c>
      <c r="J528" s="115">
        <v>376</v>
      </c>
      <c r="K528" s="115" t="s">
        <v>23</v>
      </c>
      <c r="L528" s="117" t="s">
        <v>24</v>
      </c>
      <c r="M528" s="66">
        <v>303807</v>
      </c>
      <c r="N528" s="66">
        <v>5106</v>
      </c>
      <c r="O528" s="66">
        <v>103294</v>
      </c>
      <c r="P528" s="66">
        <v>407101</v>
      </c>
      <c r="Q528" s="67">
        <v>0.4</v>
      </c>
      <c r="R528" s="66">
        <v>162841</v>
      </c>
      <c r="S528" s="66">
        <v>569942</v>
      </c>
      <c r="T528" s="106">
        <f>IF(A528="Upgrade",IF(OR(H528=4,H528=5),_xlfn.XLOOKUP(I528,'Renewal Rates'!$A$22:$A$27,'Renewal Rates'!$B$22:$B$27,'Renewal Rates'!$B$27,0),'Renewal Rates'!$F$7),IF(A528="Renewal",100%,0%))</f>
        <v>0.21</v>
      </c>
      <c r="U528" s="68">
        <f t="shared" si="8"/>
        <v>119687.81999999999</v>
      </c>
    </row>
    <row r="529" spans="1:21" s="41" customFormat="1" ht="13.8" x14ac:dyDescent="0.3">
      <c r="A529" s="115" t="s">
        <v>21</v>
      </c>
      <c r="B529" s="116">
        <v>2000387960</v>
      </c>
      <c r="C529" s="116">
        <v>16.018000000000001</v>
      </c>
      <c r="D529" s="117">
        <v>42.2</v>
      </c>
      <c r="E529" s="117"/>
      <c r="F529" s="117">
        <v>225</v>
      </c>
      <c r="G529" s="117">
        <v>375</v>
      </c>
      <c r="H529" s="123"/>
      <c r="I529" s="117" t="s">
        <v>122</v>
      </c>
      <c r="J529" s="115">
        <v>376</v>
      </c>
      <c r="K529" s="115" t="s">
        <v>23</v>
      </c>
      <c r="L529" s="117" t="s">
        <v>24</v>
      </c>
      <c r="M529" s="66">
        <v>94209</v>
      </c>
      <c r="N529" s="66">
        <v>2234</v>
      </c>
      <c r="O529" s="66">
        <v>32031</v>
      </c>
      <c r="P529" s="66">
        <v>126240</v>
      </c>
      <c r="Q529" s="67">
        <v>0.4</v>
      </c>
      <c r="R529" s="66">
        <v>50496</v>
      </c>
      <c r="S529" s="66">
        <v>176736</v>
      </c>
      <c r="T529" s="106">
        <f>IF(A529="Upgrade",IF(OR(H529=4,H529=5),_xlfn.XLOOKUP(I529,'Renewal Rates'!$A$22:$A$27,'Renewal Rates'!$B$22:$B$27,'Renewal Rates'!$B$27,0),'Renewal Rates'!$F$7),IF(A529="Renewal",100%,0%))</f>
        <v>2.6599999999999999E-2</v>
      </c>
      <c r="U529" s="68">
        <f t="shared" si="8"/>
        <v>4701.1776</v>
      </c>
    </row>
    <row r="530" spans="1:21" s="41" customFormat="1" ht="13.8" x14ac:dyDescent="0.3">
      <c r="A530" s="115" t="s">
        <v>21</v>
      </c>
      <c r="B530" s="116">
        <v>2000620925</v>
      </c>
      <c r="C530" s="116">
        <v>16.009</v>
      </c>
      <c r="D530" s="117">
        <v>55.1</v>
      </c>
      <c r="E530" s="117"/>
      <c r="F530" s="117">
        <v>300</v>
      </c>
      <c r="G530" s="117">
        <v>825</v>
      </c>
      <c r="H530" s="123"/>
      <c r="I530" s="117" t="s">
        <v>122</v>
      </c>
      <c r="J530" s="115">
        <v>376</v>
      </c>
      <c r="K530" s="115" t="s">
        <v>23</v>
      </c>
      <c r="L530" s="117" t="s">
        <v>24</v>
      </c>
      <c r="M530" s="66">
        <v>273675</v>
      </c>
      <c r="N530" s="66">
        <v>4969</v>
      </c>
      <c r="O530" s="66">
        <v>93049</v>
      </c>
      <c r="P530" s="66">
        <v>366724</v>
      </c>
      <c r="Q530" s="67">
        <v>0.4</v>
      </c>
      <c r="R530" s="66">
        <v>146690</v>
      </c>
      <c r="S530" s="66">
        <v>513414</v>
      </c>
      <c r="T530" s="106">
        <f>IF(A530="Upgrade",IF(OR(H530=4,H530=5),_xlfn.XLOOKUP(I530,'Renewal Rates'!$A$22:$A$27,'Renewal Rates'!$B$22:$B$27,'Renewal Rates'!$B$27,0),'Renewal Rates'!$F$7),IF(A530="Renewal",100%,0%))</f>
        <v>2.6599999999999999E-2</v>
      </c>
      <c r="U530" s="68">
        <f t="shared" si="8"/>
        <v>13656.812399999999</v>
      </c>
    </row>
    <row r="531" spans="1:21" s="41" customFormat="1" ht="13.8" x14ac:dyDescent="0.3">
      <c r="A531" s="115" t="s">
        <v>21</v>
      </c>
      <c r="B531" s="116">
        <v>2000213408</v>
      </c>
      <c r="C531" s="116">
        <v>16.015999999999998</v>
      </c>
      <c r="D531" s="117">
        <v>60.9</v>
      </c>
      <c r="E531" s="117"/>
      <c r="F531" s="117">
        <v>375</v>
      </c>
      <c r="G531" s="117">
        <v>675</v>
      </c>
      <c r="H531" s="123"/>
      <c r="I531" s="117" t="s">
        <v>122</v>
      </c>
      <c r="J531" s="115">
        <v>376</v>
      </c>
      <c r="K531" s="115" t="s">
        <v>23</v>
      </c>
      <c r="L531" s="117" t="s">
        <v>24</v>
      </c>
      <c r="M531" s="66">
        <v>245008</v>
      </c>
      <c r="N531" s="66">
        <v>4024</v>
      </c>
      <c r="O531" s="66">
        <v>83303</v>
      </c>
      <c r="P531" s="66">
        <v>328310</v>
      </c>
      <c r="Q531" s="67">
        <v>0.4</v>
      </c>
      <c r="R531" s="66">
        <v>131324</v>
      </c>
      <c r="S531" s="66">
        <v>459635</v>
      </c>
      <c r="T531" s="106">
        <f>IF(A531="Upgrade",IF(OR(H531=4,H531=5),_xlfn.XLOOKUP(I531,'Renewal Rates'!$A$22:$A$27,'Renewal Rates'!$B$22:$B$27,'Renewal Rates'!$B$27,0),'Renewal Rates'!$F$7),IF(A531="Renewal",100%,0%))</f>
        <v>2.6599999999999999E-2</v>
      </c>
      <c r="U531" s="68">
        <f t="shared" si="8"/>
        <v>12226.290999999999</v>
      </c>
    </row>
    <row r="532" spans="1:21" s="41" customFormat="1" ht="13.8" x14ac:dyDescent="0.3">
      <c r="A532" s="115" t="s">
        <v>21</v>
      </c>
      <c r="B532" s="116">
        <v>3000044927</v>
      </c>
      <c r="C532" s="116">
        <v>16.015999999999998</v>
      </c>
      <c r="D532" s="117">
        <v>14.6</v>
      </c>
      <c r="E532" s="117"/>
      <c r="F532" s="117">
        <v>300</v>
      </c>
      <c r="G532" s="117">
        <v>675</v>
      </c>
      <c r="H532" s="123"/>
      <c r="I532" s="117" t="s">
        <v>122</v>
      </c>
      <c r="J532" s="115">
        <v>376</v>
      </c>
      <c r="K532" s="115" t="s">
        <v>23</v>
      </c>
      <c r="L532" s="117" t="s">
        <v>24</v>
      </c>
      <c r="M532" s="66">
        <v>86896</v>
      </c>
      <c r="N532" s="66">
        <v>5960</v>
      </c>
      <c r="O532" s="66">
        <v>29545</v>
      </c>
      <c r="P532" s="66">
        <v>116441</v>
      </c>
      <c r="Q532" s="67">
        <v>0.4</v>
      </c>
      <c r="R532" s="66">
        <v>46576</v>
      </c>
      <c r="S532" s="66">
        <v>163017</v>
      </c>
      <c r="T532" s="106">
        <f>IF(A532="Upgrade",IF(OR(H532=4,H532=5),_xlfn.XLOOKUP(I532,'Renewal Rates'!$A$22:$A$27,'Renewal Rates'!$B$22:$B$27,'Renewal Rates'!$B$27,0),'Renewal Rates'!$F$7),IF(A532="Renewal",100%,0%))</f>
        <v>2.6599999999999999E-2</v>
      </c>
      <c r="U532" s="68">
        <f t="shared" si="8"/>
        <v>4336.2521999999999</v>
      </c>
    </row>
    <row r="533" spans="1:21" s="41" customFormat="1" ht="13.8" x14ac:dyDescent="0.3">
      <c r="A533" s="115" t="s">
        <v>21</v>
      </c>
      <c r="B533" s="116">
        <v>3000044925</v>
      </c>
      <c r="C533" s="116">
        <v>16.016999999999999</v>
      </c>
      <c r="D533" s="117">
        <v>14.6</v>
      </c>
      <c r="E533" s="117"/>
      <c r="F533" s="117">
        <v>375</v>
      </c>
      <c r="G533" s="117">
        <v>600</v>
      </c>
      <c r="H533" s="123"/>
      <c r="I533" s="117" t="s">
        <v>122</v>
      </c>
      <c r="J533" s="115">
        <v>376</v>
      </c>
      <c r="K533" s="115" t="s">
        <v>23</v>
      </c>
      <c r="L533" s="117" t="s">
        <v>24</v>
      </c>
      <c r="M533" s="66">
        <v>77991</v>
      </c>
      <c r="N533" s="66">
        <v>5344</v>
      </c>
      <c r="O533" s="66">
        <v>26517</v>
      </c>
      <c r="P533" s="66">
        <v>104508</v>
      </c>
      <c r="Q533" s="67">
        <v>0.4</v>
      </c>
      <c r="R533" s="66">
        <v>41803</v>
      </c>
      <c r="S533" s="66">
        <v>146311</v>
      </c>
      <c r="T533" s="106">
        <f>IF(A533="Upgrade",IF(OR(H533=4,H533=5),_xlfn.XLOOKUP(I533,'Renewal Rates'!$A$22:$A$27,'Renewal Rates'!$B$22:$B$27,'Renewal Rates'!$B$27,0),'Renewal Rates'!$F$7),IF(A533="Renewal",100%,0%))</f>
        <v>2.6599999999999999E-2</v>
      </c>
      <c r="U533" s="68">
        <f t="shared" si="8"/>
        <v>3891.8725999999997</v>
      </c>
    </row>
    <row r="534" spans="1:21" s="41" customFormat="1" ht="13.8" x14ac:dyDescent="0.3">
      <c r="A534" s="115" t="s">
        <v>21</v>
      </c>
      <c r="B534" s="116">
        <v>3000044924</v>
      </c>
      <c r="C534" s="116">
        <v>16.016999999999999</v>
      </c>
      <c r="D534" s="117">
        <v>5.0999999999999996</v>
      </c>
      <c r="E534" s="117"/>
      <c r="F534" s="117">
        <v>225</v>
      </c>
      <c r="G534" s="117">
        <v>600</v>
      </c>
      <c r="H534" s="123"/>
      <c r="I534" s="117" t="s">
        <v>122</v>
      </c>
      <c r="J534" s="115">
        <v>376</v>
      </c>
      <c r="K534" s="115" t="s">
        <v>23</v>
      </c>
      <c r="L534" s="117" t="s">
        <v>24</v>
      </c>
      <c r="M534" s="66">
        <v>48781</v>
      </c>
      <c r="N534" s="66">
        <v>9481</v>
      </c>
      <c r="O534" s="66">
        <v>16585</v>
      </c>
      <c r="P534" s="66">
        <v>65366</v>
      </c>
      <c r="Q534" s="67">
        <v>0.4</v>
      </c>
      <c r="R534" s="66">
        <v>26146</v>
      </c>
      <c r="S534" s="66">
        <v>91512</v>
      </c>
      <c r="T534" s="106">
        <f>IF(A534="Upgrade",IF(OR(H534=4,H534=5),_xlfn.XLOOKUP(I534,'Renewal Rates'!$A$22:$A$27,'Renewal Rates'!$B$22:$B$27,'Renewal Rates'!$B$27,0),'Renewal Rates'!$F$7),IF(A534="Renewal",100%,0%))</f>
        <v>2.6599999999999999E-2</v>
      </c>
      <c r="U534" s="68">
        <f t="shared" si="8"/>
        <v>2434.2192</v>
      </c>
    </row>
    <row r="535" spans="1:21" s="41" customFormat="1" ht="13.8" x14ac:dyDescent="0.3">
      <c r="A535" s="115" t="s">
        <v>21</v>
      </c>
      <c r="B535" s="116">
        <v>3000044923</v>
      </c>
      <c r="C535" s="116">
        <v>16.016999999999999</v>
      </c>
      <c r="D535" s="117">
        <v>19.8</v>
      </c>
      <c r="E535" s="117"/>
      <c r="F535" s="117">
        <v>225</v>
      </c>
      <c r="G535" s="117">
        <v>600</v>
      </c>
      <c r="H535" s="123"/>
      <c r="I535" s="117" t="s">
        <v>122</v>
      </c>
      <c r="J535" s="115">
        <v>376</v>
      </c>
      <c r="K535" s="115" t="s">
        <v>23</v>
      </c>
      <c r="L535" s="117" t="s">
        <v>24</v>
      </c>
      <c r="M535" s="66">
        <v>83362</v>
      </c>
      <c r="N535" s="66">
        <v>4213</v>
      </c>
      <c r="O535" s="66">
        <v>28343</v>
      </c>
      <c r="P535" s="66">
        <v>111705</v>
      </c>
      <c r="Q535" s="67">
        <v>0.4</v>
      </c>
      <c r="R535" s="66">
        <v>44682</v>
      </c>
      <c r="S535" s="66">
        <v>156387</v>
      </c>
      <c r="T535" s="106">
        <f>IF(A535="Upgrade",IF(OR(H535=4,H535=5),_xlfn.XLOOKUP(I535,'Renewal Rates'!$A$22:$A$27,'Renewal Rates'!$B$22:$B$27,'Renewal Rates'!$B$27,0),'Renewal Rates'!$F$7),IF(A535="Renewal",100%,0%))</f>
        <v>2.6599999999999999E-2</v>
      </c>
      <c r="U535" s="68">
        <f t="shared" si="8"/>
        <v>4159.8941999999997</v>
      </c>
    </row>
    <row r="536" spans="1:21" s="41" customFormat="1" ht="13.8" x14ac:dyDescent="0.3">
      <c r="A536" s="115" t="s">
        <v>21</v>
      </c>
      <c r="B536" s="116">
        <v>2000974326</v>
      </c>
      <c r="C536" s="116">
        <v>16.016999999999999</v>
      </c>
      <c r="D536" s="117">
        <v>83.8</v>
      </c>
      <c r="E536" s="117"/>
      <c r="F536" s="117">
        <v>225</v>
      </c>
      <c r="G536" s="117">
        <v>600</v>
      </c>
      <c r="H536" s="123"/>
      <c r="I536" s="117" t="s">
        <v>122</v>
      </c>
      <c r="J536" s="115">
        <v>376</v>
      </c>
      <c r="K536" s="115" t="s">
        <v>23</v>
      </c>
      <c r="L536" s="117" t="s">
        <v>24</v>
      </c>
      <c r="M536" s="66">
        <v>300991</v>
      </c>
      <c r="N536" s="66">
        <v>3591</v>
      </c>
      <c r="O536" s="66">
        <v>102337</v>
      </c>
      <c r="P536" s="66">
        <v>403328</v>
      </c>
      <c r="Q536" s="67">
        <v>0.4</v>
      </c>
      <c r="R536" s="66">
        <v>161331</v>
      </c>
      <c r="S536" s="66">
        <v>564659</v>
      </c>
      <c r="T536" s="106">
        <f>IF(A536="Upgrade",IF(OR(H536=4,H536=5),_xlfn.XLOOKUP(I536,'Renewal Rates'!$A$22:$A$27,'Renewal Rates'!$B$22:$B$27,'Renewal Rates'!$B$27,0),'Renewal Rates'!$F$7),IF(A536="Renewal",100%,0%))</f>
        <v>2.6599999999999999E-2</v>
      </c>
      <c r="U536" s="68">
        <f t="shared" si="8"/>
        <v>15019.929399999999</v>
      </c>
    </row>
    <row r="537" spans="1:21" s="41" customFormat="1" ht="13.8" x14ac:dyDescent="0.3">
      <c r="A537" s="115" t="s">
        <v>25</v>
      </c>
      <c r="B537" s="116" t="s">
        <v>22</v>
      </c>
      <c r="C537" s="116">
        <v>16.001000000000001</v>
      </c>
      <c r="D537" s="117"/>
      <c r="E537" s="117">
        <v>250.6</v>
      </c>
      <c r="F537" s="117"/>
      <c r="G537" s="117">
        <v>525</v>
      </c>
      <c r="H537" s="123"/>
      <c r="I537" s="117" t="s">
        <v>122</v>
      </c>
      <c r="J537" s="115">
        <v>376</v>
      </c>
      <c r="K537" s="115" t="s">
        <v>23</v>
      </c>
      <c r="L537" s="117" t="s">
        <v>24</v>
      </c>
      <c r="M537" s="66">
        <v>726388</v>
      </c>
      <c r="N537" s="66">
        <v>2898</v>
      </c>
      <c r="O537" s="66">
        <v>246972</v>
      </c>
      <c r="P537" s="66">
        <v>973360</v>
      </c>
      <c r="Q537" s="67">
        <v>0.4</v>
      </c>
      <c r="R537" s="66">
        <v>389344</v>
      </c>
      <c r="S537" s="66">
        <v>1362704</v>
      </c>
      <c r="T537" s="106">
        <f>IF(A537="Upgrade",IF(OR(H537=4,H537=5),_xlfn.XLOOKUP(I537,'Renewal Rates'!$A$22:$A$27,'Renewal Rates'!$B$22:$B$27,'Renewal Rates'!$B$27,0),'Renewal Rates'!$F$7),IF(A537="Renewal",100%,0%))</f>
        <v>0</v>
      </c>
      <c r="U537" s="68">
        <f t="shared" si="8"/>
        <v>0</v>
      </c>
    </row>
    <row r="538" spans="1:21" s="41" customFormat="1" ht="13.8" x14ac:dyDescent="0.3">
      <c r="A538" s="115" t="s">
        <v>21</v>
      </c>
      <c r="B538" s="116">
        <v>2000330197</v>
      </c>
      <c r="C538" s="116">
        <v>16.007000000000001</v>
      </c>
      <c r="D538" s="117">
        <v>49.8</v>
      </c>
      <c r="E538" s="117"/>
      <c r="F538" s="117">
        <v>300</v>
      </c>
      <c r="G538" s="117">
        <v>525</v>
      </c>
      <c r="H538" s="123"/>
      <c r="I538" s="117" t="s">
        <v>122</v>
      </c>
      <c r="J538" s="115">
        <v>376</v>
      </c>
      <c r="K538" s="115" t="s">
        <v>23</v>
      </c>
      <c r="L538" s="117" t="s">
        <v>24</v>
      </c>
      <c r="M538" s="66">
        <v>145694</v>
      </c>
      <c r="N538" s="66">
        <v>2927</v>
      </c>
      <c r="O538" s="66">
        <v>49536</v>
      </c>
      <c r="P538" s="66">
        <v>195230</v>
      </c>
      <c r="Q538" s="67">
        <v>0.4</v>
      </c>
      <c r="R538" s="66">
        <v>78092</v>
      </c>
      <c r="S538" s="66">
        <v>273322</v>
      </c>
      <c r="T538" s="106">
        <f>IF(A538="Upgrade",IF(OR(H538=4,H538=5),_xlfn.XLOOKUP(I538,'Renewal Rates'!$A$22:$A$27,'Renewal Rates'!$B$22:$B$27,'Renewal Rates'!$B$27,0),'Renewal Rates'!$F$7),IF(A538="Renewal",100%,0%))</f>
        <v>2.6599999999999999E-2</v>
      </c>
      <c r="U538" s="68">
        <f t="shared" si="8"/>
        <v>7270.3651999999993</v>
      </c>
    </row>
    <row r="539" spans="1:21" s="41" customFormat="1" ht="13.8" x14ac:dyDescent="0.3">
      <c r="A539" s="115" t="s">
        <v>21</v>
      </c>
      <c r="B539" s="116">
        <v>2000700879</v>
      </c>
      <c r="C539" s="116">
        <v>16.007000000000001</v>
      </c>
      <c r="D539" s="117">
        <v>43.4</v>
      </c>
      <c r="E539" s="117"/>
      <c r="F539" s="117">
        <v>300</v>
      </c>
      <c r="G539" s="117">
        <v>525</v>
      </c>
      <c r="H539" s="123"/>
      <c r="I539" s="117" t="s">
        <v>122</v>
      </c>
      <c r="J539" s="115">
        <v>376</v>
      </c>
      <c r="K539" s="115" t="s">
        <v>23</v>
      </c>
      <c r="L539" s="117" t="s">
        <v>24</v>
      </c>
      <c r="M539" s="66">
        <v>140137</v>
      </c>
      <c r="N539" s="66">
        <v>3228</v>
      </c>
      <c r="O539" s="66">
        <v>47647</v>
      </c>
      <c r="P539" s="66">
        <v>187783</v>
      </c>
      <c r="Q539" s="67">
        <v>0.4</v>
      </c>
      <c r="R539" s="66">
        <v>75113</v>
      </c>
      <c r="S539" s="66">
        <v>262897</v>
      </c>
      <c r="T539" s="106">
        <f>IF(A539="Upgrade",IF(OR(H539=4,H539=5),_xlfn.XLOOKUP(I539,'Renewal Rates'!$A$22:$A$27,'Renewal Rates'!$B$22:$B$27,'Renewal Rates'!$B$27,0),'Renewal Rates'!$F$7),IF(A539="Renewal",100%,0%))</f>
        <v>2.6599999999999999E-2</v>
      </c>
      <c r="U539" s="68">
        <f t="shared" si="8"/>
        <v>6993.0601999999999</v>
      </c>
    </row>
    <row r="540" spans="1:21" s="41" customFormat="1" ht="13.8" x14ac:dyDescent="0.3">
      <c r="A540" s="115" t="s">
        <v>21</v>
      </c>
      <c r="B540" s="116">
        <v>2000371858</v>
      </c>
      <c r="C540" s="116">
        <v>16.007000000000001</v>
      </c>
      <c r="D540" s="117">
        <v>17</v>
      </c>
      <c r="E540" s="117"/>
      <c r="F540" s="117">
        <v>225</v>
      </c>
      <c r="G540" s="117">
        <v>525</v>
      </c>
      <c r="H540" s="123"/>
      <c r="I540" s="117" t="s">
        <v>122</v>
      </c>
      <c r="J540" s="115">
        <v>376</v>
      </c>
      <c r="K540" s="115" t="s">
        <v>23</v>
      </c>
      <c r="L540" s="117" t="s">
        <v>24</v>
      </c>
      <c r="M540" s="66">
        <v>94615</v>
      </c>
      <c r="N540" s="66">
        <v>5554</v>
      </c>
      <c r="O540" s="66">
        <v>32169</v>
      </c>
      <c r="P540" s="66">
        <v>126784</v>
      </c>
      <c r="Q540" s="67">
        <v>0.4</v>
      </c>
      <c r="R540" s="66">
        <v>50714</v>
      </c>
      <c r="S540" s="66">
        <v>177498</v>
      </c>
      <c r="T540" s="106">
        <f>IF(A540="Upgrade",IF(OR(H540=4,H540=5),_xlfn.XLOOKUP(I540,'Renewal Rates'!$A$22:$A$27,'Renewal Rates'!$B$22:$B$27,'Renewal Rates'!$B$27,0),'Renewal Rates'!$F$7),IF(A540="Renewal",100%,0%))</f>
        <v>2.6599999999999999E-2</v>
      </c>
      <c r="U540" s="68">
        <f t="shared" si="8"/>
        <v>4721.4467999999997</v>
      </c>
    </row>
    <row r="541" spans="1:21" s="41" customFormat="1" ht="13.8" x14ac:dyDescent="0.3">
      <c r="A541" s="115" t="s">
        <v>21</v>
      </c>
      <c r="B541" s="116">
        <v>2000070653</v>
      </c>
      <c r="C541" s="116">
        <v>16.007000000000001</v>
      </c>
      <c r="D541" s="117">
        <v>1.8</v>
      </c>
      <c r="E541" s="117"/>
      <c r="F541" s="117">
        <v>225</v>
      </c>
      <c r="G541" s="117">
        <v>525</v>
      </c>
      <c r="H541" s="123"/>
      <c r="I541" s="117" t="s">
        <v>122</v>
      </c>
      <c r="J541" s="115">
        <v>376</v>
      </c>
      <c r="K541" s="115" t="s">
        <v>23</v>
      </c>
      <c r="L541" s="117" t="s">
        <v>24</v>
      </c>
      <c r="M541" s="66">
        <v>61901</v>
      </c>
      <c r="N541" s="66">
        <v>33869</v>
      </c>
      <c r="O541" s="66">
        <v>21046</v>
      </c>
      <c r="P541" s="66">
        <v>82948</v>
      </c>
      <c r="Q541" s="67">
        <v>0.4</v>
      </c>
      <c r="R541" s="66">
        <v>33179</v>
      </c>
      <c r="S541" s="66">
        <v>116127</v>
      </c>
      <c r="T541" s="106">
        <f>IF(A541="Upgrade",IF(OR(H541=4,H541=5),_xlfn.XLOOKUP(I541,'Renewal Rates'!$A$22:$A$27,'Renewal Rates'!$B$22:$B$27,'Renewal Rates'!$B$27,0),'Renewal Rates'!$F$7),IF(A541="Renewal",100%,0%))</f>
        <v>2.6599999999999999E-2</v>
      </c>
      <c r="U541" s="68">
        <f t="shared" si="8"/>
        <v>3088.9782</v>
      </c>
    </row>
    <row r="542" spans="1:21" s="41" customFormat="1" ht="13.8" x14ac:dyDescent="0.3">
      <c r="A542" s="115" t="s">
        <v>25</v>
      </c>
      <c r="B542" s="116" t="s">
        <v>22</v>
      </c>
      <c r="C542" s="116">
        <v>16.001999999999999</v>
      </c>
      <c r="D542" s="117"/>
      <c r="E542" s="117">
        <v>106.4</v>
      </c>
      <c r="F542" s="117"/>
      <c r="G542" s="117">
        <v>525</v>
      </c>
      <c r="H542" s="123"/>
      <c r="I542" s="117" t="s">
        <v>122</v>
      </c>
      <c r="J542" s="115">
        <v>376</v>
      </c>
      <c r="K542" s="115" t="s">
        <v>23</v>
      </c>
      <c r="L542" s="117" t="s">
        <v>24</v>
      </c>
      <c r="M542" s="66">
        <v>297326</v>
      </c>
      <c r="N542" s="66">
        <v>2793</v>
      </c>
      <c r="O542" s="66">
        <v>101091</v>
      </c>
      <c r="P542" s="66">
        <v>398417</v>
      </c>
      <c r="Q542" s="67">
        <v>0.4</v>
      </c>
      <c r="R542" s="66">
        <v>159367</v>
      </c>
      <c r="S542" s="66">
        <v>557784</v>
      </c>
      <c r="T542" s="106">
        <f>IF(A542="Upgrade",IF(OR(H542=4,H542=5),_xlfn.XLOOKUP(I542,'Renewal Rates'!$A$22:$A$27,'Renewal Rates'!$B$22:$B$27,'Renewal Rates'!$B$27,0),'Renewal Rates'!$F$7),IF(A542="Renewal",100%,0%))</f>
        <v>0</v>
      </c>
      <c r="U542" s="68">
        <f t="shared" si="8"/>
        <v>0</v>
      </c>
    </row>
    <row r="543" spans="1:21" s="41" customFormat="1" ht="13.8" x14ac:dyDescent="0.3">
      <c r="A543" s="115" t="s">
        <v>21</v>
      </c>
      <c r="B543" s="116">
        <v>2000640725</v>
      </c>
      <c r="C543" s="116">
        <v>16.024999999999999</v>
      </c>
      <c r="D543" s="117">
        <v>13.8</v>
      </c>
      <c r="E543" s="117"/>
      <c r="F543" s="117">
        <v>300</v>
      </c>
      <c r="G543" s="117">
        <v>825</v>
      </c>
      <c r="H543" s="123"/>
      <c r="I543" s="117" t="s">
        <v>122</v>
      </c>
      <c r="J543" s="115">
        <v>376</v>
      </c>
      <c r="K543" s="115" t="s">
        <v>23</v>
      </c>
      <c r="L543" s="117" t="s">
        <v>24</v>
      </c>
      <c r="M543" s="66">
        <v>112961</v>
      </c>
      <c r="N543" s="66">
        <v>8181</v>
      </c>
      <c r="O543" s="66">
        <v>38407</v>
      </c>
      <c r="P543" s="66">
        <v>151367</v>
      </c>
      <c r="Q543" s="67">
        <v>0.4</v>
      </c>
      <c r="R543" s="66">
        <v>60547</v>
      </c>
      <c r="S543" s="66">
        <v>211914</v>
      </c>
      <c r="T543" s="106">
        <f>IF(A543="Upgrade",IF(OR(H543=4,H543=5),_xlfn.XLOOKUP(I543,'Renewal Rates'!$A$22:$A$27,'Renewal Rates'!$B$22:$B$27,'Renewal Rates'!$B$27,0),'Renewal Rates'!$F$7),IF(A543="Renewal",100%,0%))</f>
        <v>2.6599999999999999E-2</v>
      </c>
      <c r="U543" s="68">
        <f t="shared" si="8"/>
        <v>5636.9124000000002</v>
      </c>
    </row>
    <row r="544" spans="1:21" s="41" customFormat="1" ht="13.8" x14ac:dyDescent="0.3">
      <c r="A544" s="115" t="s">
        <v>21</v>
      </c>
      <c r="B544" s="116">
        <v>2000159575</v>
      </c>
      <c r="C544" s="116">
        <v>16.024999999999999</v>
      </c>
      <c r="D544" s="117">
        <v>18.899999999999999</v>
      </c>
      <c r="E544" s="117"/>
      <c r="F544" s="117">
        <v>300</v>
      </c>
      <c r="G544" s="117">
        <v>825</v>
      </c>
      <c r="H544" s="123"/>
      <c r="I544" s="117" t="s">
        <v>122</v>
      </c>
      <c r="J544" s="115">
        <v>376</v>
      </c>
      <c r="K544" s="115" t="s">
        <v>23</v>
      </c>
      <c r="L544" s="117" t="s">
        <v>24</v>
      </c>
      <c r="M544" s="66">
        <v>116695</v>
      </c>
      <c r="N544" s="66">
        <v>6188</v>
      </c>
      <c r="O544" s="66">
        <v>39676</v>
      </c>
      <c r="P544" s="66">
        <v>156371</v>
      </c>
      <c r="Q544" s="67">
        <v>0.4</v>
      </c>
      <c r="R544" s="66">
        <v>62548</v>
      </c>
      <c r="S544" s="66">
        <v>218919</v>
      </c>
      <c r="T544" s="106">
        <f>IF(A544="Upgrade",IF(OR(H544=4,H544=5),_xlfn.XLOOKUP(I544,'Renewal Rates'!$A$22:$A$27,'Renewal Rates'!$B$22:$B$27,'Renewal Rates'!$B$27,0),'Renewal Rates'!$F$7),IF(A544="Renewal",100%,0%))</f>
        <v>2.6599999999999999E-2</v>
      </c>
      <c r="U544" s="68">
        <f t="shared" si="8"/>
        <v>5823.2453999999998</v>
      </c>
    </row>
    <row r="545" spans="1:21" s="41" customFormat="1" ht="13.8" x14ac:dyDescent="0.3">
      <c r="A545" s="115" t="s">
        <v>21</v>
      </c>
      <c r="B545" s="116">
        <v>2000183452</v>
      </c>
      <c r="C545" s="116">
        <v>16.024999999999999</v>
      </c>
      <c r="D545" s="117">
        <v>63.7</v>
      </c>
      <c r="E545" s="117"/>
      <c r="F545" s="117">
        <v>300</v>
      </c>
      <c r="G545" s="117">
        <v>825</v>
      </c>
      <c r="H545" s="123"/>
      <c r="I545" s="117" t="s">
        <v>122</v>
      </c>
      <c r="J545" s="115">
        <v>376</v>
      </c>
      <c r="K545" s="115" t="s">
        <v>23</v>
      </c>
      <c r="L545" s="117" t="s">
        <v>24</v>
      </c>
      <c r="M545" s="66">
        <v>306303</v>
      </c>
      <c r="N545" s="66">
        <v>4806</v>
      </c>
      <c r="O545" s="66">
        <v>104143</v>
      </c>
      <c r="P545" s="66">
        <v>410446</v>
      </c>
      <c r="Q545" s="67">
        <v>0.4</v>
      </c>
      <c r="R545" s="66">
        <v>164178</v>
      </c>
      <c r="S545" s="66">
        <v>574624</v>
      </c>
      <c r="T545" s="106">
        <f>IF(A545="Upgrade",IF(OR(H545=4,H545=5),_xlfn.XLOOKUP(I545,'Renewal Rates'!$A$22:$A$27,'Renewal Rates'!$B$22:$B$27,'Renewal Rates'!$B$27,0),'Renewal Rates'!$F$7),IF(A545="Renewal",100%,0%))</f>
        <v>2.6599999999999999E-2</v>
      </c>
      <c r="U545" s="68">
        <f t="shared" si="8"/>
        <v>15284.998399999999</v>
      </c>
    </row>
    <row r="546" spans="1:21" s="41" customFormat="1" ht="13.8" x14ac:dyDescent="0.3">
      <c r="A546" s="115" t="s">
        <v>21</v>
      </c>
      <c r="B546" s="116">
        <v>2000175967</v>
      </c>
      <c r="C546" s="116">
        <v>16.024000000000001</v>
      </c>
      <c r="D546" s="117">
        <v>41.6</v>
      </c>
      <c r="E546" s="117"/>
      <c r="F546" s="117">
        <v>300</v>
      </c>
      <c r="G546" s="117">
        <v>675</v>
      </c>
      <c r="H546" s="123"/>
      <c r="I546" s="117" t="s">
        <v>122</v>
      </c>
      <c r="J546" s="115">
        <v>376</v>
      </c>
      <c r="K546" s="115" t="s">
        <v>23</v>
      </c>
      <c r="L546" s="117" t="s">
        <v>24</v>
      </c>
      <c r="M546" s="66">
        <v>158120</v>
      </c>
      <c r="N546" s="66">
        <v>3799</v>
      </c>
      <c r="O546" s="66">
        <v>53761</v>
      </c>
      <c r="P546" s="66">
        <v>211880</v>
      </c>
      <c r="Q546" s="67">
        <v>0.4</v>
      </c>
      <c r="R546" s="66">
        <v>84752</v>
      </c>
      <c r="S546" s="66">
        <v>296633</v>
      </c>
      <c r="T546" s="106">
        <f>IF(A546="Upgrade",IF(OR(H546=4,H546=5),_xlfn.XLOOKUP(I546,'Renewal Rates'!$A$22:$A$27,'Renewal Rates'!$B$22:$B$27,'Renewal Rates'!$B$27,0),'Renewal Rates'!$F$7),IF(A546="Renewal",100%,0%))</f>
        <v>2.6599999999999999E-2</v>
      </c>
      <c r="U546" s="68">
        <f t="shared" si="8"/>
        <v>7890.4377999999997</v>
      </c>
    </row>
    <row r="547" spans="1:21" s="41" customFormat="1" ht="13.8" x14ac:dyDescent="0.3">
      <c r="A547" s="115" t="s">
        <v>21</v>
      </c>
      <c r="B547" s="116">
        <v>2000055501</v>
      </c>
      <c r="C547" s="116">
        <v>16.023</v>
      </c>
      <c r="D547" s="117">
        <v>99.4</v>
      </c>
      <c r="E547" s="117"/>
      <c r="F547" s="117">
        <v>300</v>
      </c>
      <c r="G547" s="117">
        <v>525</v>
      </c>
      <c r="H547" s="123"/>
      <c r="I547" s="117" t="s">
        <v>122</v>
      </c>
      <c r="J547" s="115">
        <v>376</v>
      </c>
      <c r="K547" s="115" t="s">
        <v>23</v>
      </c>
      <c r="L547" s="117" t="s">
        <v>24</v>
      </c>
      <c r="M547" s="66">
        <v>285648</v>
      </c>
      <c r="N547" s="66">
        <v>2873</v>
      </c>
      <c r="O547" s="66">
        <v>97120</v>
      </c>
      <c r="P547" s="66">
        <v>382768</v>
      </c>
      <c r="Q547" s="67">
        <v>0.4</v>
      </c>
      <c r="R547" s="66">
        <v>153107</v>
      </c>
      <c r="S547" s="66">
        <v>535875</v>
      </c>
      <c r="T547" s="106">
        <f>IF(A547="Upgrade",IF(OR(H547=4,H547=5),_xlfn.XLOOKUP(I547,'Renewal Rates'!$A$22:$A$27,'Renewal Rates'!$B$22:$B$27,'Renewal Rates'!$B$27,0),'Renewal Rates'!$F$7),IF(A547="Renewal",100%,0%))</f>
        <v>2.6599999999999999E-2</v>
      </c>
      <c r="U547" s="68">
        <f t="shared" si="8"/>
        <v>14254.275</v>
      </c>
    </row>
    <row r="548" spans="1:21" s="41" customFormat="1" ht="13.8" x14ac:dyDescent="0.3">
      <c r="A548" s="115" t="s">
        <v>21</v>
      </c>
      <c r="B548" s="116">
        <v>2000282073</v>
      </c>
      <c r="C548" s="116">
        <v>16.021999999999998</v>
      </c>
      <c r="D548" s="117">
        <v>63.6</v>
      </c>
      <c r="E548" s="117"/>
      <c r="F548" s="117">
        <v>300</v>
      </c>
      <c r="G548" s="117">
        <v>600</v>
      </c>
      <c r="H548" s="123"/>
      <c r="I548" s="117" t="s">
        <v>122</v>
      </c>
      <c r="J548" s="115">
        <v>376</v>
      </c>
      <c r="K548" s="115" t="s">
        <v>23</v>
      </c>
      <c r="L548" s="117" t="s">
        <v>24</v>
      </c>
      <c r="M548" s="66">
        <v>224788</v>
      </c>
      <c r="N548" s="66">
        <v>3537</v>
      </c>
      <c r="O548" s="66">
        <v>76428</v>
      </c>
      <c r="P548" s="66">
        <v>301216</v>
      </c>
      <c r="Q548" s="67">
        <v>0.4</v>
      </c>
      <c r="R548" s="66">
        <v>120486</v>
      </c>
      <c r="S548" s="66">
        <v>421702</v>
      </c>
      <c r="T548" s="106">
        <f>IF(A548="Upgrade",IF(OR(H548=4,H548=5),_xlfn.XLOOKUP(I548,'Renewal Rates'!$A$22:$A$27,'Renewal Rates'!$B$22:$B$27,'Renewal Rates'!$B$27,0),'Renewal Rates'!$F$7),IF(A548="Renewal",100%,0%))</f>
        <v>2.6599999999999999E-2</v>
      </c>
      <c r="U548" s="68">
        <f t="shared" si="8"/>
        <v>11217.2732</v>
      </c>
    </row>
    <row r="549" spans="1:21" s="41" customFormat="1" ht="13.8" x14ac:dyDescent="0.3">
      <c r="A549" s="115" t="s">
        <v>21</v>
      </c>
      <c r="B549" s="116">
        <v>2000740629</v>
      </c>
      <c r="C549" s="116">
        <v>16.021000000000001</v>
      </c>
      <c r="D549" s="117">
        <v>52.6</v>
      </c>
      <c r="E549" s="117"/>
      <c r="F549" s="117">
        <v>300</v>
      </c>
      <c r="G549" s="117">
        <v>525</v>
      </c>
      <c r="H549" s="123"/>
      <c r="I549" s="117" t="s">
        <v>122</v>
      </c>
      <c r="J549" s="115">
        <v>376</v>
      </c>
      <c r="K549" s="115" t="s">
        <v>23</v>
      </c>
      <c r="L549" s="117" t="s">
        <v>24</v>
      </c>
      <c r="M549" s="66">
        <v>186472</v>
      </c>
      <c r="N549" s="66">
        <v>3545</v>
      </c>
      <c r="O549" s="66">
        <v>63400</v>
      </c>
      <c r="P549" s="66">
        <v>249872</v>
      </c>
      <c r="Q549" s="67">
        <v>0.4</v>
      </c>
      <c r="R549" s="66">
        <v>99949</v>
      </c>
      <c r="S549" s="66">
        <v>349821</v>
      </c>
      <c r="T549" s="106">
        <f>IF(A549="Upgrade",IF(OR(H549=4,H549=5),_xlfn.XLOOKUP(I549,'Renewal Rates'!$A$22:$A$27,'Renewal Rates'!$B$22:$B$27,'Renewal Rates'!$B$27,0),'Renewal Rates'!$F$7),IF(A549="Renewal",100%,0%))</f>
        <v>2.6599999999999999E-2</v>
      </c>
      <c r="U549" s="68">
        <f t="shared" si="8"/>
        <v>9305.2385999999988</v>
      </c>
    </row>
    <row r="550" spans="1:21" s="41" customFormat="1" ht="13.8" x14ac:dyDescent="0.3">
      <c r="A550" s="115" t="s">
        <v>21</v>
      </c>
      <c r="B550" s="116">
        <v>2000809494</v>
      </c>
      <c r="C550" s="116">
        <v>16.021000000000001</v>
      </c>
      <c r="D550" s="117">
        <v>7.3</v>
      </c>
      <c r="E550" s="117"/>
      <c r="F550" s="117">
        <v>300</v>
      </c>
      <c r="G550" s="117">
        <v>525</v>
      </c>
      <c r="H550" s="123"/>
      <c r="I550" s="117" t="s">
        <v>122</v>
      </c>
      <c r="J550" s="115">
        <v>376</v>
      </c>
      <c r="K550" s="115" t="s">
        <v>23</v>
      </c>
      <c r="L550" s="117" t="s">
        <v>24</v>
      </c>
      <c r="M550" s="66">
        <v>50291</v>
      </c>
      <c r="N550" s="66">
        <v>6897</v>
      </c>
      <c r="O550" s="66">
        <v>17099</v>
      </c>
      <c r="P550" s="66">
        <v>67390</v>
      </c>
      <c r="Q550" s="67">
        <v>0.4</v>
      </c>
      <c r="R550" s="66">
        <v>26956</v>
      </c>
      <c r="S550" s="66">
        <v>94346</v>
      </c>
      <c r="T550" s="106">
        <f>IF(A550="Upgrade",IF(OR(H550=4,H550=5),_xlfn.XLOOKUP(I550,'Renewal Rates'!$A$22:$A$27,'Renewal Rates'!$B$22:$B$27,'Renewal Rates'!$B$27,0),'Renewal Rates'!$F$7),IF(A550="Renewal",100%,0%))</f>
        <v>2.6599999999999999E-2</v>
      </c>
      <c r="U550" s="68">
        <f t="shared" si="8"/>
        <v>2509.6035999999999</v>
      </c>
    </row>
    <row r="551" spans="1:21" s="41" customFormat="1" ht="13.8" x14ac:dyDescent="0.3">
      <c r="A551" s="115" t="s">
        <v>21</v>
      </c>
      <c r="B551" s="116">
        <v>2000681370</v>
      </c>
      <c r="C551" s="116">
        <v>16.02</v>
      </c>
      <c r="D551" s="117">
        <v>60.2</v>
      </c>
      <c r="E551" s="117"/>
      <c r="F551" s="117">
        <v>300</v>
      </c>
      <c r="G551" s="117">
        <v>525</v>
      </c>
      <c r="H551" s="123"/>
      <c r="I551" s="117" t="s">
        <v>122</v>
      </c>
      <c r="J551" s="115">
        <v>367</v>
      </c>
      <c r="K551" s="115" t="s">
        <v>23</v>
      </c>
      <c r="L551" s="117" t="s">
        <v>24</v>
      </c>
      <c r="M551" s="66">
        <v>209440</v>
      </c>
      <c r="N551" s="66">
        <v>3482</v>
      </c>
      <c r="O551" s="66">
        <v>71210</v>
      </c>
      <c r="P551" s="66">
        <v>280650</v>
      </c>
      <c r="Q551" s="67">
        <v>0.4</v>
      </c>
      <c r="R551" s="66">
        <v>112260</v>
      </c>
      <c r="S551" s="66">
        <v>392910</v>
      </c>
      <c r="T551" s="106">
        <f>IF(A551="Upgrade",IF(OR(H551=4,H551=5),_xlfn.XLOOKUP(I551,'Renewal Rates'!$A$22:$A$27,'Renewal Rates'!$B$22:$B$27,'Renewal Rates'!$B$27,0),'Renewal Rates'!$F$7),IF(A551="Renewal",100%,0%))</f>
        <v>2.6599999999999999E-2</v>
      </c>
      <c r="U551" s="68">
        <f t="shared" si="8"/>
        <v>10451.405999999999</v>
      </c>
    </row>
    <row r="552" spans="1:21" s="41" customFormat="1" ht="13.8" x14ac:dyDescent="0.3">
      <c r="A552" s="115" t="s">
        <v>21</v>
      </c>
      <c r="B552" s="116">
        <v>2000790779</v>
      </c>
      <c r="C552" s="116">
        <v>16.02</v>
      </c>
      <c r="D552" s="117">
        <v>53.2</v>
      </c>
      <c r="E552" s="117"/>
      <c r="F552" s="117">
        <v>300</v>
      </c>
      <c r="G552" s="117">
        <v>525</v>
      </c>
      <c r="H552" s="123"/>
      <c r="I552" s="117" t="s">
        <v>122</v>
      </c>
      <c r="J552" s="115">
        <v>367</v>
      </c>
      <c r="K552" s="115" t="s">
        <v>23</v>
      </c>
      <c r="L552" s="117" t="s">
        <v>24</v>
      </c>
      <c r="M552" s="66">
        <v>203344</v>
      </c>
      <c r="N552" s="66">
        <v>3824</v>
      </c>
      <c r="O552" s="66">
        <v>69137</v>
      </c>
      <c r="P552" s="66">
        <v>272482</v>
      </c>
      <c r="Q552" s="67">
        <v>0.4</v>
      </c>
      <c r="R552" s="66">
        <v>108993</v>
      </c>
      <c r="S552" s="66">
        <v>381474</v>
      </c>
      <c r="T552" s="106">
        <f>IF(A552="Upgrade",IF(OR(H552=4,H552=5),_xlfn.XLOOKUP(I552,'Renewal Rates'!$A$22:$A$27,'Renewal Rates'!$B$22:$B$27,'Renewal Rates'!$B$27,0),'Renewal Rates'!$F$7),IF(A552="Renewal",100%,0%))</f>
        <v>2.6599999999999999E-2</v>
      </c>
      <c r="U552" s="68">
        <f t="shared" si="8"/>
        <v>10147.2084</v>
      </c>
    </row>
    <row r="553" spans="1:21" s="41" customFormat="1" ht="13.8" x14ac:dyDescent="0.3">
      <c r="A553" s="115" t="s">
        <v>21</v>
      </c>
      <c r="B553" s="116">
        <v>2000424297</v>
      </c>
      <c r="C553" s="116">
        <v>16.018999999999998</v>
      </c>
      <c r="D553" s="117">
        <v>88.7</v>
      </c>
      <c r="E553" s="117"/>
      <c r="F553" s="117">
        <v>300</v>
      </c>
      <c r="G553" s="117">
        <v>300</v>
      </c>
      <c r="H553" s="123"/>
      <c r="I553" s="117" t="s">
        <v>122</v>
      </c>
      <c r="J553" s="115">
        <v>367</v>
      </c>
      <c r="K553" s="115" t="s">
        <v>23</v>
      </c>
      <c r="L553" s="117" t="s">
        <v>24</v>
      </c>
      <c r="M553" s="66">
        <v>169169</v>
      </c>
      <c r="N553" s="66">
        <v>1908</v>
      </c>
      <c r="O553" s="66">
        <v>57518</v>
      </c>
      <c r="P553" s="66">
        <v>226687</v>
      </c>
      <c r="Q553" s="67">
        <v>0.4</v>
      </c>
      <c r="R553" s="66">
        <v>90675</v>
      </c>
      <c r="S553" s="66">
        <v>317362</v>
      </c>
      <c r="T553" s="106">
        <f>IF(A553="Upgrade",IF(OR(H553=4,H553=5),_xlfn.XLOOKUP(I553,'Renewal Rates'!$A$22:$A$27,'Renewal Rates'!$B$22:$B$27,'Renewal Rates'!$B$27,0),'Renewal Rates'!$F$7),IF(A553="Renewal",100%,0%))</f>
        <v>2.6599999999999999E-2</v>
      </c>
      <c r="U553" s="68">
        <f t="shared" si="8"/>
        <v>8441.8292000000001</v>
      </c>
    </row>
    <row r="554" spans="1:21" s="41" customFormat="1" ht="13.8" x14ac:dyDescent="0.3">
      <c r="A554" s="115" t="s">
        <v>25</v>
      </c>
      <c r="B554" s="116" t="s">
        <v>22</v>
      </c>
      <c r="C554" s="116">
        <v>17.009</v>
      </c>
      <c r="D554" s="117"/>
      <c r="E554" s="117">
        <v>94.1</v>
      </c>
      <c r="F554" s="117"/>
      <c r="G554" s="117">
        <v>450</v>
      </c>
      <c r="H554" s="123"/>
      <c r="I554" s="117" t="s">
        <v>122</v>
      </c>
      <c r="J554" s="115">
        <v>376</v>
      </c>
      <c r="K554" s="115" t="s">
        <v>23</v>
      </c>
      <c r="L554" s="117" t="s">
        <v>24</v>
      </c>
      <c r="M554" s="66">
        <v>263815</v>
      </c>
      <c r="N554" s="66">
        <v>2803</v>
      </c>
      <c r="O554" s="66">
        <v>89697</v>
      </c>
      <c r="P554" s="66">
        <v>353511</v>
      </c>
      <c r="Q554" s="67">
        <v>0.4</v>
      </c>
      <c r="R554" s="66">
        <v>141405</v>
      </c>
      <c r="S554" s="66">
        <v>494916</v>
      </c>
      <c r="T554" s="106">
        <f>IF(A554="Upgrade",IF(OR(H554=4,H554=5),_xlfn.XLOOKUP(I554,'Renewal Rates'!$A$22:$A$27,'Renewal Rates'!$B$22:$B$27,'Renewal Rates'!$B$27,0),'Renewal Rates'!$F$7),IF(A554="Renewal",100%,0%))</f>
        <v>0</v>
      </c>
      <c r="U554" s="68">
        <f t="shared" si="8"/>
        <v>0</v>
      </c>
    </row>
    <row r="555" spans="1:21" s="41" customFormat="1" ht="13.8" x14ac:dyDescent="0.3">
      <c r="A555" s="115" t="s">
        <v>25</v>
      </c>
      <c r="B555" s="116" t="s">
        <v>22</v>
      </c>
      <c r="C555" s="116">
        <v>17.004999999999999</v>
      </c>
      <c r="D555" s="117"/>
      <c r="E555" s="117">
        <v>198.9</v>
      </c>
      <c r="F555" s="117"/>
      <c r="G555" s="117">
        <v>750</v>
      </c>
      <c r="H555" s="123"/>
      <c r="I555" s="117" t="s">
        <v>122</v>
      </c>
      <c r="J555" s="115">
        <v>376</v>
      </c>
      <c r="K555" s="115" t="s">
        <v>23</v>
      </c>
      <c r="L555" s="117" t="s">
        <v>24</v>
      </c>
      <c r="M555" s="66">
        <v>805669</v>
      </c>
      <c r="N555" s="66">
        <v>4050</v>
      </c>
      <c r="O555" s="66">
        <v>273928</v>
      </c>
      <c r="P555" s="66">
        <v>1079597</v>
      </c>
      <c r="Q555" s="67">
        <v>0.4</v>
      </c>
      <c r="R555" s="66">
        <v>431839</v>
      </c>
      <c r="S555" s="66">
        <v>1511435</v>
      </c>
      <c r="T555" s="106">
        <f>IF(A555="Upgrade",IF(OR(H555=4,H555=5),_xlfn.XLOOKUP(I555,'Renewal Rates'!$A$22:$A$27,'Renewal Rates'!$B$22:$B$27,'Renewal Rates'!$B$27,0),'Renewal Rates'!$F$7),IF(A555="Renewal",100%,0%))</f>
        <v>0</v>
      </c>
      <c r="U555" s="68">
        <f t="shared" si="8"/>
        <v>0</v>
      </c>
    </row>
    <row r="556" spans="1:21" s="41" customFormat="1" ht="13.8" x14ac:dyDescent="0.3">
      <c r="A556" s="115" t="s">
        <v>25</v>
      </c>
      <c r="B556" s="116" t="s">
        <v>22</v>
      </c>
      <c r="C556" s="116">
        <v>17.004000000000001</v>
      </c>
      <c r="D556" s="117"/>
      <c r="E556" s="117">
        <v>50.9</v>
      </c>
      <c r="F556" s="117"/>
      <c r="G556" s="117">
        <v>450</v>
      </c>
      <c r="H556" s="123"/>
      <c r="I556" s="117" t="s">
        <v>122</v>
      </c>
      <c r="J556" s="115">
        <v>376</v>
      </c>
      <c r="K556" s="115" t="s">
        <v>23</v>
      </c>
      <c r="L556" s="117" t="s">
        <v>24</v>
      </c>
      <c r="M556" s="66">
        <v>174736</v>
      </c>
      <c r="N556" s="66">
        <v>3430</v>
      </c>
      <c r="O556" s="66">
        <v>59410</v>
      </c>
      <c r="P556" s="66">
        <v>234147</v>
      </c>
      <c r="Q556" s="67">
        <v>0.4</v>
      </c>
      <c r="R556" s="66">
        <v>93659</v>
      </c>
      <c r="S556" s="66">
        <v>327805</v>
      </c>
      <c r="T556" s="106">
        <f>IF(A556="Upgrade",IF(OR(H556=4,H556=5),_xlfn.XLOOKUP(I556,'Renewal Rates'!$A$22:$A$27,'Renewal Rates'!$B$22:$B$27,'Renewal Rates'!$B$27,0),'Renewal Rates'!$F$7),IF(A556="Renewal",100%,0%))</f>
        <v>0</v>
      </c>
      <c r="U556" s="68">
        <f t="shared" si="8"/>
        <v>0</v>
      </c>
    </row>
    <row r="557" spans="1:21" s="41" customFormat="1" ht="13.8" x14ac:dyDescent="0.3">
      <c r="A557" s="115" t="s">
        <v>25</v>
      </c>
      <c r="B557" s="116" t="s">
        <v>22</v>
      </c>
      <c r="C557" s="116">
        <v>17.003</v>
      </c>
      <c r="D557" s="117"/>
      <c r="E557" s="117">
        <v>73.2</v>
      </c>
      <c r="F557" s="117"/>
      <c r="G557" s="117">
        <v>525</v>
      </c>
      <c r="H557" s="123"/>
      <c r="I557" s="117" t="s">
        <v>122</v>
      </c>
      <c r="J557" s="115">
        <v>376</v>
      </c>
      <c r="K557" s="115" t="s">
        <v>23</v>
      </c>
      <c r="L557" s="117" t="s">
        <v>24</v>
      </c>
      <c r="M557" s="66">
        <v>223862</v>
      </c>
      <c r="N557" s="66">
        <v>3059</v>
      </c>
      <c r="O557" s="66">
        <v>76113</v>
      </c>
      <c r="P557" s="66">
        <v>299975</v>
      </c>
      <c r="Q557" s="67">
        <v>0.4</v>
      </c>
      <c r="R557" s="66">
        <v>119990</v>
      </c>
      <c r="S557" s="66">
        <v>419965</v>
      </c>
      <c r="T557" s="106">
        <f>IF(A557="Upgrade",IF(OR(H557=4,H557=5),_xlfn.XLOOKUP(I557,'Renewal Rates'!$A$22:$A$27,'Renewal Rates'!$B$22:$B$27,'Renewal Rates'!$B$27,0),'Renewal Rates'!$F$7),IF(A557="Renewal",100%,0%))</f>
        <v>0</v>
      </c>
      <c r="U557" s="68">
        <f t="shared" si="8"/>
        <v>0</v>
      </c>
    </row>
    <row r="558" spans="1:21" s="41" customFormat="1" ht="13.8" x14ac:dyDescent="0.3">
      <c r="A558" s="115" t="s">
        <v>21</v>
      </c>
      <c r="B558" s="116">
        <v>2000023579</v>
      </c>
      <c r="C558" s="116" t="s">
        <v>38</v>
      </c>
      <c r="D558" s="117">
        <v>7.1</v>
      </c>
      <c r="E558" s="117"/>
      <c r="F558" s="117">
        <v>1800</v>
      </c>
      <c r="G558" s="117">
        <v>2400</v>
      </c>
      <c r="H558" s="123">
        <v>5</v>
      </c>
      <c r="I558" s="117"/>
      <c r="J558" s="115">
        <v>376</v>
      </c>
      <c r="K558" s="115" t="s">
        <v>23</v>
      </c>
      <c r="L558" s="117" t="s">
        <v>24</v>
      </c>
      <c r="M558" s="66">
        <v>124214</v>
      </c>
      <c r="N558" s="66">
        <v>17466</v>
      </c>
      <c r="O558" s="66">
        <v>42233</v>
      </c>
      <c r="P558" s="66">
        <v>166446</v>
      </c>
      <c r="Q558" s="67">
        <v>0.4</v>
      </c>
      <c r="R558" s="66">
        <v>66578</v>
      </c>
      <c r="S558" s="66">
        <v>233025</v>
      </c>
      <c r="T558" s="106">
        <f>IF(A558="Upgrade",IF(OR(H558=4,H558=5),_xlfn.XLOOKUP(I558,'Renewal Rates'!$A$22:$A$27,'Renewal Rates'!$B$22:$B$27,'Renewal Rates'!$B$27,0),'Renewal Rates'!$F$7),IF(A558="Renewal",100%,0%))</f>
        <v>0.116578</v>
      </c>
      <c r="U558" s="68">
        <f t="shared" si="8"/>
        <v>27165.588449999999</v>
      </c>
    </row>
    <row r="559" spans="1:21" s="41" customFormat="1" ht="13.8" x14ac:dyDescent="0.3">
      <c r="A559" s="115" t="s">
        <v>21</v>
      </c>
      <c r="B559" s="116">
        <v>2000942073</v>
      </c>
      <c r="C559" s="116">
        <v>17.035</v>
      </c>
      <c r="D559" s="117">
        <v>3.5</v>
      </c>
      <c r="E559" s="117"/>
      <c r="F559" s="117">
        <v>1800</v>
      </c>
      <c r="G559" s="117">
        <v>2400</v>
      </c>
      <c r="H559" s="123">
        <v>4</v>
      </c>
      <c r="I559" s="117"/>
      <c r="J559" s="115">
        <v>376</v>
      </c>
      <c r="K559" s="115" t="s">
        <v>23</v>
      </c>
      <c r="L559" s="117" t="s">
        <v>24</v>
      </c>
      <c r="M559" s="66">
        <v>60264</v>
      </c>
      <c r="N559" s="66">
        <v>17010</v>
      </c>
      <c r="O559" s="66">
        <v>20490</v>
      </c>
      <c r="P559" s="66">
        <v>80753</v>
      </c>
      <c r="Q559" s="67">
        <v>0.4</v>
      </c>
      <c r="R559" s="66">
        <v>32301</v>
      </c>
      <c r="S559" s="66">
        <v>113055</v>
      </c>
      <c r="T559" s="106">
        <f>IF(A559="Upgrade",IF(OR(H559=4,H559=5),_xlfn.XLOOKUP(I559,'Renewal Rates'!$A$22:$A$27,'Renewal Rates'!$B$22:$B$27,'Renewal Rates'!$B$27,0),'Renewal Rates'!$F$7),IF(A559="Renewal",100%,0%))</f>
        <v>0.116578</v>
      </c>
      <c r="U559" s="68">
        <f t="shared" si="8"/>
        <v>13179.72579</v>
      </c>
    </row>
    <row r="560" spans="1:21" s="41" customFormat="1" ht="13.8" x14ac:dyDescent="0.3">
      <c r="A560" s="115" t="s">
        <v>21</v>
      </c>
      <c r="B560" s="116">
        <v>2000535935</v>
      </c>
      <c r="C560" s="116">
        <v>17.035</v>
      </c>
      <c r="D560" s="117">
        <v>12.7</v>
      </c>
      <c r="E560" s="117"/>
      <c r="F560" s="117">
        <v>1800</v>
      </c>
      <c r="G560" s="117">
        <v>2400</v>
      </c>
      <c r="H560" s="123">
        <v>4</v>
      </c>
      <c r="I560" s="117"/>
      <c r="J560" s="115">
        <v>376</v>
      </c>
      <c r="K560" s="115" t="s">
        <v>23</v>
      </c>
      <c r="L560" s="117" t="s">
        <v>24</v>
      </c>
      <c r="M560" s="66">
        <v>198783</v>
      </c>
      <c r="N560" s="66">
        <v>15627</v>
      </c>
      <c r="O560" s="66">
        <v>67586</v>
      </c>
      <c r="P560" s="66">
        <v>266369</v>
      </c>
      <c r="Q560" s="67">
        <v>0.4</v>
      </c>
      <c r="R560" s="66">
        <v>106548</v>
      </c>
      <c r="S560" s="66">
        <v>372916</v>
      </c>
      <c r="T560" s="106">
        <f>IF(A560="Upgrade",IF(OR(H560=4,H560=5),_xlfn.XLOOKUP(I560,'Renewal Rates'!$A$22:$A$27,'Renewal Rates'!$B$22:$B$27,'Renewal Rates'!$B$27,0),'Renewal Rates'!$F$7),IF(A560="Renewal",100%,0%))</f>
        <v>0.116578</v>
      </c>
      <c r="U560" s="68">
        <f t="shared" si="8"/>
        <v>43473.801447999998</v>
      </c>
    </row>
    <row r="561" spans="1:21" s="41" customFormat="1" ht="13.8" x14ac:dyDescent="0.3">
      <c r="A561" s="115" t="s">
        <v>21</v>
      </c>
      <c r="B561" s="116">
        <v>2000748564</v>
      </c>
      <c r="C561" s="116">
        <v>17.035</v>
      </c>
      <c r="D561" s="117">
        <v>13.8</v>
      </c>
      <c r="E561" s="117"/>
      <c r="F561" s="117">
        <v>1800</v>
      </c>
      <c r="G561" s="117">
        <v>2400</v>
      </c>
      <c r="H561" s="123">
        <v>5</v>
      </c>
      <c r="I561" s="117"/>
      <c r="J561" s="115">
        <v>376</v>
      </c>
      <c r="K561" s="115" t="s">
        <v>23</v>
      </c>
      <c r="L561" s="117" t="s">
        <v>24</v>
      </c>
      <c r="M561" s="66">
        <v>204591</v>
      </c>
      <c r="N561" s="66">
        <v>14786</v>
      </c>
      <c r="O561" s="66">
        <v>69561</v>
      </c>
      <c r="P561" s="66">
        <v>274152</v>
      </c>
      <c r="Q561" s="67">
        <v>0.4</v>
      </c>
      <c r="R561" s="66">
        <v>109661</v>
      </c>
      <c r="S561" s="66">
        <v>383813</v>
      </c>
      <c r="T561" s="106">
        <f>IF(A561="Upgrade",IF(OR(H561=4,H561=5),_xlfn.XLOOKUP(I561,'Renewal Rates'!$A$22:$A$27,'Renewal Rates'!$B$22:$B$27,'Renewal Rates'!$B$27,0),'Renewal Rates'!$F$7),IF(A561="Renewal",100%,0%))</f>
        <v>0.116578</v>
      </c>
      <c r="U561" s="68">
        <f t="shared" si="8"/>
        <v>44744.151914000002</v>
      </c>
    </row>
    <row r="562" spans="1:21" s="41" customFormat="1" ht="13.8" x14ac:dyDescent="0.3">
      <c r="A562" s="115" t="s">
        <v>21</v>
      </c>
      <c r="B562" s="116">
        <v>2000183940</v>
      </c>
      <c r="C562" s="116">
        <v>17.035</v>
      </c>
      <c r="D562" s="117">
        <v>109.1</v>
      </c>
      <c r="E562" s="117"/>
      <c r="F562" s="117">
        <v>1800</v>
      </c>
      <c r="G562" s="117">
        <v>2400</v>
      </c>
      <c r="H562" s="123">
        <v>5</v>
      </c>
      <c r="I562" s="117">
        <v>3</v>
      </c>
      <c r="J562" s="115">
        <v>376</v>
      </c>
      <c r="K562" s="115" t="s">
        <v>23</v>
      </c>
      <c r="L562" s="117" t="s">
        <v>24</v>
      </c>
      <c r="M562" s="66">
        <v>1634996</v>
      </c>
      <c r="N562" s="66">
        <v>14985</v>
      </c>
      <c r="O562" s="66">
        <v>555899</v>
      </c>
      <c r="P562" s="66">
        <v>2190894</v>
      </c>
      <c r="Q562" s="67">
        <v>0.4</v>
      </c>
      <c r="R562" s="66">
        <v>876358</v>
      </c>
      <c r="S562" s="66">
        <v>3067252</v>
      </c>
      <c r="T562" s="106">
        <f>IF(A562="Upgrade",IF(OR(H562=4,H562=5),_xlfn.XLOOKUP(I562,'Renewal Rates'!$A$22:$A$27,'Renewal Rates'!$B$22:$B$27,'Renewal Rates'!$B$27,0),'Renewal Rates'!$F$7),IF(A562="Renewal",100%,0%))</f>
        <v>0.21</v>
      </c>
      <c r="U562" s="68">
        <f t="shared" si="8"/>
        <v>644122.91999999993</v>
      </c>
    </row>
    <row r="563" spans="1:21" s="41" customFormat="1" ht="13.8" x14ac:dyDescent="0.3">
      <c r="A563" s="115" t="s">
        <v>21</v>
      </c>
      <c r="B563" s="116">
        <v>2000931586</v>
      </c>
      <c r="C563" s="116">
        <v>17.036999999999999</v>
      </c>
      <c r="D563" s="117">
        <v>159.19999999999999</v>
      </c>
      <c r="E563" s="117"/>
      <c r="F563" s="117">
        <v>1800</v>
      </c>
      <c r="G563" s="117">
        <v>2400</v>
      </c>
      <c r="H563" s="123">
        <v>4</v>
      </c>
      <c r="I563" s="117">
        <v>3</v>
      </c>
      <c r="J563" s="115">
        <v>376</v>
      </c>
      <c r="K563" s="115" t="s">
        <v>23</v>
      </c>
      <c r="L563" s="117" t="s">
        <v>24</v>
      </c>
      <c r="M563" s="66">
        <v>2363055</v>
      </c>
      <c r="N563" s="66">
        <v>14842</v>
      </c>
      <c r="O563" s="66">
        <v>803439</v>
      </c>
      <c r="P563" s="66">
        <v>3166494</v>
      </c>
      <c r="Q563" s="67">
        <v>0.4</v>
      </c>
      <c r="R563" s="66">
        <v>1266598</v>
      </c>
      <c r="S563" s="66">
        <v>4433091</v>
      </c>
      <c r="T563" s="106">
        <f>IF(A563="Upgrade",IF(OR(H563=4,H563=5),_xlfn.XLOOKUP(I563,'Renewal Rates'!$A$22:$A$27,'Renewal Rates'!$B$22:$B$27,'Renewal Rates'!$B$27,0),'Renewal Rates'!$F$7),IF(A563="Renewal",100%,0%))</f>
        <v>0.21</v>
      </c>
      <c r="U563" s="68">
        <f t="shared" si="8"/>
        <v>930949.11</v>
      </c>
    </row>
    <row r="564" spans="1:21" s="41" customFormat="1" ht="13.8" x14ac:dyDescent="0.3">
      <c r="A564" s="115" t="s">
        <v>21</v>
      </c>
      <c r="B564" s="116">
        <v>2000374905</v>
      </c>
      <c r="C564" s="116">
        <v>17.036000000000001</v>
      </c>
      <c r="D564" s="117">
        <v>69</v>
      </c>
      <c r="E564" s="117"/>
      <c r="F564" s="117">
        <v>975</v>
      </c>
      <c r="G564" s="117">
        <v>1650</v>
      </c>
      <c r="H564" s="123"/>
      <c r="I564" s="117" t="s">
        <v>122</v>
      </c>
      <c r="J564" s="115">
        <v>376</v>
      </c>
      <c r="K564" s="115" t="s">
        <v>23</v>
      </c>
      <c r="L564" s="117" t="s">
        <v>24</v>
      </c>
      <c r="M564" s="66">
        <v>639435</v>
      </c>
      <c r="N564" s="66">
        <v>9264</v>
      </c>
      <c r="O564" s="66">
        <v>217408</v>
      </c>
      <c r="P564" s="66">
        <v>856843</v>
      </c>
      <c r="Q564" s="67">
        <v>0.4</v>
      </c>
      <c r="R564" s="66">
        <v>342737</v>
      </c>
      <c r="S564" s="66">
        <v>1199581</v>
      </c>
      <c r="T564" s="106">
        <f>IF(A564="Upgrade",IF(OR(H564=4,H564=5),_xlfn.XLOOKUP(I564,'Renewal Rates'!$A$22:$A$27,'Renewal Rates'!$B$22:$B$27,'Renewal Rates'!$B$27,0),'Renewal Rates'!$F$7),IF(A564="Renewal",100%,0%))</f>
        <v>2.6599999999999999E-2</v>
      </c>
      <c r="U564" s="68">
        <f t="shared" si="8"/>
        <v>31908.854599999999</v>
      </c>
    </row>
    <row r="565" spans="1:21" s="41" customFormat="1" ht="13.8" x14ac:dyDescent="0.3">
      <c r="A565" s="115" t="s">
        <v>21</v>
      </c>
      <c r="B565" s="116">
        <v>2000167592</v>
      </c>
      <c r="C565" s="116">
        <v>17.036000000000001</v>
      </c>
      <c r="D565" s="117">
        <v>8.3000000000000007</v>
      </c>
      <c r="E565" s="117"/>
      <c r="F565" s="117">
        <v>975</v>
      </c>
      <c r="G565" s="117">
        <v>1650</v>
      </c>
      <c r="H565" s="123"/>
      <c r="I565" s="117" t="s">
        <v>122</v>
      </c>
      <c r="J565" s="115">
        <v>376</v>
      </c>
      <c r="K565" s="115" t="s">
        <v>23</v>
      </c>
      <c r="L565" s="117" t="s">
        <v>24</v>
      </c>
      <c r="M565" s="66">
        <v>97459</v>
      </c>
      <c r="N565" s="66">
        <v>11704</v>
      </c>
      <c r="O565" s="66">
        <v>33136</v>
      </c>
      <c r="P565" s="66">
        <v>130596</v>
      </c>
      <c r="Q565" s="67">
        <v>0.4</v>
      </c>
      <c r="R565" s="66">
        <v>52238</v>
      </c>
      <c r="S565" s="66">
        <v>182834</v>
      </c>
      <c r="T565" s="106">
        <f>IF(A565="Upgrade",IF(OR(H565=4,H565=5),_xlfn.XLOOKUP(I565,'Renewal Rates'!$A$22:$A$27,'Renewal Rates'!$B$22:$B$27,'Renewal Rates'!$B$27,0),'Renewal Rates'!$F$7),IF(A565="Renewal",100%,0%))</f>
        <v>2.6599999999999999E-2</v>
      </c>
      <c r="U565" s="68">
        <f t="shared" si="8"/>
        <v>4863.3843999999999</v>
      </c>
    </row>
    <row r="566" spans="1:21" s="41" customFormat="1" ht="13.8" x14ac:dyDescent="0.3">
      <c r="A566" s="115" t="s">
        <v>21</v>
      </c>
      <c r="B566" s="116">
        <v>2000921513</v>
      </c>
      <c r="C566" s="116">
        <v>17.03</v>
      </c>
      <c r="D566" s="117">
        <v>29.4</v>
      </c>
      <c r="E566" s="117"/>
      <c r="F566" s="117">
        <v>450</v>
      </c>
      <c r="G566" s="117">
        <v>675</v>
      </c>
      <c r="H566" s="123">
        <v>4</v>
      </c>
      <c r="I566" s="117">
        <v>3</v>
      </c>
      <c r="J566" s="115">
        <v>376</v>
      </c>
      <c r="K566" s="115" t="s">
        <v>23</v>
      </c>
      <c r="L566" s="117" t="s">
        <v>24</v>
      </c>
      <c r="M566" s="66">
        <v>124088</v>
      </c>
      <c r="N566" s="66">
        <v>4218</v>
      </c>
      <c r="O566" s="66">
        <v>42190</v>
      </c>
      <c r="P566" s="66">
        <v>166278</v>
      </c>
      <c r="Q566" s="67">
        <v>0.4</v>
      </c>
      <c r="R566" s="66">
        <v>66511</v>
      </c>
      <c r="S566" s="66">
        <v>232789</v>
      </c>
      <c r="T566" s="106">
        <f>IF(A566="Upgrade",IF(OR(H566=4,H566=5),_xlfn.XLOOKUP(I566,'Renewal Rates'!$A$22:$A$27,'Renewal Rates'!$B$22:$B$27,'Renewal Rates'!$B$27,0),'Renewal Rates'!$F$7),IF(A566="Renewal",100%,0%))</f>
        <v>0.21</v>
      </c>
      <c r="U566" s="68">
        <f t="shared" si="8"/>
        <v>48885.689999999995</v>
      </c>
    </row>
    <row r="567" spans="1:21" s="41" customFormat="1" ht="13.8" x14ac:dyDescent="0.3">
      <c r="A567" s="115" t="s">
        <v>21</v>
      </c>
      <c r="B567" s="116">
        <v>2000694125</v>
      </c>
      <c r="C567" s="116">
        <v>17.03</v>
      </c>
      <c r="D567" s="117">
        <v>44.3</v>
      </c>
      <c r="E567" s="117"/>
      <c r="F567" s="117">
        <v>450</v>
      </c>
      <c r="G567" s="117">
        <v>675</v>
      </c>
      <c r="H567" s="123">
        <v>4</v>
      </c>
      <c r="I567" s="117">
        <v>2</v>
      </c>
      <c r="J567" s="115">
        <v>376</v>
      </c>
      <c r="K567" s="115" t="s">
        <v>23</v>
      </c>
      <c r="L567" s="117" t="s">
        <v>24</v>
      </c>
      <c r="M567" s="66">
        <v>204158</v>
      </c>
      <c r="N567" s="66">
        <v>4609</v>
      </c>
      <c r="O567" s="66">
        <v>69414</v>
      </c>
      <c r="P567" s="66">
        <v>273572</v>
      </c>
      <c r="Q567" s="67">
        <v>0.4</v>
      </c>
      <c r="R567" s="66">
        <v>109429</v>
      </c>
      <c r="S567" s="66">
        <v>383000</v>
      </c>
      <c r="T567" s="106">
        <f>IF(A567="Upgrade",IF(OR(H567=4,H567=5),_xlfn.XLOOKUP(I567,'Renewal Rates'!$A$22:$A$27,'Renewal Rates'!$B$22:$B$27,'Renewal Rates'!$B$27,0),'Renewal Rates'!$F$7),IF(A567="Renewal",100%,0%))</f>
        <v>0</v>
      </c>
      <c r="U567" s="68">
        <f t="shared" si="8"/>
        <v>0</v>
      </c>
    </row>
    <row r="568" spans="1:21" s="41" customFormat="1" ht="13.8" x14ac:dyDescent="0.3">
      <c r="A568" s="115" t="s">
        <v>25</v>
      </c>
      <c r="B568" s="116" t="s">
        <v>22</v>
      </c>
      <c r="C568" s="116">
        <v>17.001999999999999</v>
      </c>
      <c r="D568" s="117"/>
      <c r="E568" s="117">
        <v>97.8</v>
      </c>
      <c r="F568" s="117"/>
      <c r="G568" s="117">
        <v>525</v>
      </c>
      <c r="H568" s="123"/>
      <c r="I568" s="117" t="s">
        <v>122</v>
      </c>
      <c r="J568" s="115">
        <v>376</v>
      </c>
      <c r="K568" s="115" t="s">
        <v>23</v>
      </c>
      <c r="L568" s="117" t="s">
        <v>24</v>
      </c>
      <c r="M568" s="66">
        <v>284270</v>
      </c>
      <c r="N568" s="66">
        <v>2906</v>
      </c>
      <c r="O568" s="66">
        <v>96652</v>
      </c>
      <c r="P568" s="66">
        <v>380922</v>
      </c>
      <c r="Q568" s="67">
        <v>0.4</v>
      </c>
      <c r="R568" s="66">
        <v>152369</v>
      </c>
      <c r="S568" s="66">
        <v>533291</v>
      </c>
      <c r="T568" s="106">
        <f>IF(A568="Upgrade",IF(OR(H568=4,H568=5),_xlfn.XLOOKUP(I568,'Renewal Rates'!$A$22:$A$27,'Renewal Rates'!$B$22:$B$27,'Renewal Rates'!$B$27,0),'Renewal Rates'!$F$7),IF(A568="Renewal",100%,0%))</f>
        <v>0</v>
      </c>
      <c r="U568" s="68">
        <f t="shared" si="8"/>
        <v>0</v>
      </c>
    </row>
    <row r="569" spans="1:21" s="41" customFormat="1" ht="13.8" x14ac:dyDescent="0.3">
      <c r="A569" s="115" t="s">
        <v>21</v>
      </c>
      <c r="B569" s="116">
        <v>2000762750</v>
      </c>
      <c r="C569" s="116">
        <v>17.038</v>
      </c>
      <c r="D569" s="117">
        <v>82.8</v>
      </c>
      <c r="E569" s="117"/>
      <c r="F569" s="117">
        <v>975</v>
      </c>
      <c r="G569" s="117">
        <v>1650</v>
      </c>
      <c r="H569" s="123"/>
      <c r="I569" s="117" t="s">
        <v>122</v>
      </c>
      <c r="J569" s="115">
        <v>376</v>
      </c>
      <c r="K569" s="115" t="s">
        <v>23</v>
      </c>
      <c r="L569" s="117" t="s">
        <v>24</v>
      </c>
      <c r="M569" s="66">
        <v>776904</v>
      </c>
      <c r="N569" s="66">
        <v>9386</v>
      </c>
      <c r="O569" s="66">
        <v>264147</v>
      </c>
      <c r="P569" s="66">
        <v>1041051</v>
      </c>
      <c r="Q569" s="67">
        <v>0.4</v>
      </c>
      <c r="R569" s="66">
        <v>416421</v>
      </c>
      <c r="S569" s="66">
        <v>1457472</v>
      </c>
      <c r="T569" s="106">
        <f>IF(A569="Upgrade",IF(OR(H569=4,H569=5),_xlfn.XLOOKUP(I569,'Renewal Rates'!$A$22:$A$27,'Renewal Rates'!$B$22:$B$27,'Renewal Rates'!$B$27,0),'Renewal Rates'!$F$7),IF(A569="Renewal",100%,0%))</f>
        <v>2.6599999999999999E-2</v>
      </c>
      <c r="U569" s="68">
        <f t="shared" si="8"/>
        <v>38768.7552</v>
      </c>
    </row>
    <row r="570" spans="1:21" s="41" customFormat="1" ht="13.8" x14ac:dyDescent="0.3">
      <c r="A570" s="115" t="s">
        <v>21</v>
      </c>
      <c r="B570" s="116">
        <v>2000517581</v>
      </c>
      <c r="C570" s="116">
        <v>17.018999999999998</v>
      </c>
      <c r="D570" s="117">
        <v>42.8</v>
      </c>
      <c r="E570" s="117"/>
      <c r="F570" s="117">
        <v>300</v>
      </c>
      <c r="G570" s="117">
        <v>1050</v>
      </c>
      <c r="H570" s="123"/>
      <c r="I570" s="117" t="s">
        <v>122</v>
      </c>
      <c r="J570" s="115">
        <v>376</v>
      </c>
      <c r="K570" s="115" t="s">
        <v>23</v>
      </c>
      <c r="L570" s="117" t="s">
        <v>24</v>
      </c>
      <c r="M570" s="66">
        <v>289258</v>
      </c>
      <c r="N570" s="66">
        <v>6756</v>
      </c>
      <c r="O570" s="66">
        <v>98348</v>
      </c>
      <c r="P570" s="66">
        <v>387605</v>
      </c>
      <c r="Q570" s="67">
        <v>0.4</v>
      </c>
      <c r="R570" s="66">
        <v>155042</v>
      </c>
      <c r="S570" s="66">
        <v>542648</v>
      </c>
      <c r="T570" s="106">
        <f>IF(A570="Upgrade",IF(OR(H570=4,H570=5),_xlfn.XLOOKUP(I570,'Renewal Rates'!$A$22:$A$27,'Renewal Rates'!$B$22:$B$27,'Renewal Rates'!$B$27,0),'Renewal Rates'!$F$7),IF(A570="Renewal",100%,0%))</f>
        <v>2.6599999999999999E-2</v>
      </c>
      <c r="U570" s="68">
        <f t="shared" si="8"/>
        <v>14434.436799999999</v>
      </c>
    </row>
    <row r="571" spans="1:21" s="41" customFormat="1" ht="13.8" x14ac:dyDescent="0.3">
      <c r="A571" s="115" t="s">
        <v>21</v>
      </c>
      <c r="B571" s="116">
        <v>2000394306</v>
      </c>
      <c r="C571" s="116">
        <v>17.018000000000001</v>
      </c>
      <c r="D571" s="117">
        <v>91.9</v>
      </c>
      <c r="E571" s="117"/>
      <c r="F571" s="117">
        <v>300</v>
      </c>
      <c r="G571" s="117">
        <v>825</v>
      </c>
      <c r="H571" s="123"/>
      <c r="I571" s="117" t="s">
        <v>122</v>
      </c>
      <c r="J571" s="115">
        <v>376</v>
      </c>
      <c r="K571" s="115" t="s">
        <v>23</v>
      </c>
      <c r="L571" s="117" t="s">
        <v>24</v>
      </c>
      <c r="M571" s="66">
        <v>407533</v>
      </c>
      <c r="N571" s="66">
        <v>4435</v>
      </c>
      <c r="O571" s="66">
        <v>138561</v>
      </c>
      <c r="P571" s="66">
        <v>546094</v>
      </c>
      <c r="Q571" s="67">
        <v>0.4</v>
      </c>
      <c r="R571" s="66">
        <v>218437</v>
      </c>
      <c r="S571" s="66">
        <v>764531</v>
      </c>
      <c r="T571" s="106">
        <f>IF(A571="Upgrade",IF(OR(H571=4,H571=5),_xlfn.XLOOKUP(I571,'Renewal Rates'!$A$22:$A$27,'Renewal Rates'!$B$22:$B$27,'Renewal Rates'!$B$27,0),'Renewal Rates'!$F$7),IF(A571="Renewal",100%,0%))</f>
        <v>2.6599999999999999E-2</v>
      </c>
      <c r="U571" s="68">
        <f t="shared" si="8"/>
        <v>20336.524600000001</v>
      </c>
    </row>
    <row r="572" spans="1:21" s="41" customFormat="1" ht="13.8" x14ac:dyDescent="0.3">
      <c r="A572" s="115" t="s">
        <v>21</v>
      </c>
      <c r="B572" s="116">
        <v>2000859497</v>
      </c>
      <c r="C572" s="116">
        <v>17.018000000000001</v>
      </c>
      <c r="D572" s="117">
        <v>83.9</v>
      </c>
      <c r="E572" s="117"/>
      <c r="F572" s="117">
        <v>300</v>
      </c>
      <c r="G572" s="117">
        <v>825</v>
      </c>
      <c r="H572" s="123">
        <v>4</v>
      </c>
      <c r="I572" s="117">
        <v>3</v>
      </c>
      <c r="J572" s="115">
        <v>376</v>
      </c>
      <c r="K572" s="115" t="s">
        <v>23</v>
      </c>
      <c r="L572" s="117" t="s">
        <v>24</v>
      </c>
      <c r="M572" s="66">
        <v>375873</v>
      </c>
      <c r="N572" s="66">
        <v>4481</v>
      </c>
      <c r="O572" s="66">
        <v>127797</v>
      </c>
      <c r="P572" s="66">
        <v>503670</v>
      </c>
      <c r="Q572" s="67">
        <v>0.4</v>
      </c>
      <c r="R572" s="66">
        <v>201468</v>
      </c>
      <c r="S572" s="66">
        <v>705138</v>
      </c>
      <c r="T572" s="106">
        <f>IF(A572="Upgrade",IF(OR(H572=4,H572=5),_xlfn.XLOOKUP(I572,'Renewal Rates'!$A$22:$A$27,'Renewal Rates'!$B$22:$B$27,'Renewal Rates'!$B$27,0),'Renewal Rates'!$F$7),IF(A572="Renewal",100%,0%))</f>
        <v>0.21</v>
      </c>
      <c r="U572" s="68">
        <f t="shared" si="8"/>
        <v>148078.97999999998</v>
      </c>
    </row>
    <row r="573" spans="1:21" s="41" customFormat="1" ht="13.8" x14ac:dyDescent="0.3">
      <c r="A573" s="115" t="s">
        <v>21</v>
      </c>
      <c r="B573" s="116">
        <v>2000589489</v>
      </c>
      <c r="C573" s="116">
        <v>17.016999999999999</v>
      </c>
      <c r="D573" s="117">
        <v>12.5</v>
      </c>
      <c r="E573" s="117"/>
      <c r="F573" s="117">
        <v>225</v>
      </c>
      <c r="G573" s="117">
        <v>750</v>
      </c>
      <c r="H573" s="123"/>
      <c r="I573" s="117" t="s">
        <v>122</v>
      </c>
      <c r="J573" s="115">
        <v>376</v>
      </c>
      <c r="K573" s="115" t="s">
        <v>23</v>
      </c>
      <c r="L573" s="117" t="s">
        <v>24</v>
      </c>
      <c r="M573" s="66">
        <v>85934</v>
      </c>
      <c r="N573" s="66">
        <v>6894</v>
      </c>
      <c r="O573" s="66">
        <v>29218</v>
      </c>
      <c r="P573" s="66">
        <v>115152</v>
      </c>
      <c r="Q573" s="67">
        <v>0.4</v>
      </c>
      <c r="R573" s="66">
        <v>46061</v>
      </c>
      <c r="S573" s="66">
        <v>161213</v>
      </c>
      <c r="T573" s="106">
        <f>IF(A573="Upgrade",IF(OR(H573=4,H573=5),_xlfn.XLOOKUP(I573,'Renewal Rates'!$A$22:$A$27,'Renewal Rates'!$B$22:$B$27,'Renewal Rates'!$B$27,0),'Renewal Rates'!$F$7),IF(A573="Renewal",100%,0%))</f>
        <v>2.6599999999999999E-2</v>
      </c>
      <c r="U573" s="68">
        <f t="shared" si="8"/>
        <v>4288.2658000000001</v>
      </c>
    </row>
    <row r="574" spans="1:21" s="41" customFormat="1" ht="13.8" x14ac:dyDescent="0.3">
      <c r="A574" s="115" t="s">
        <v>21</v>
      </c>
      <c r="B574" s="116">
        <v>2000622769</v>
      </c>
      <c r="C574" s="116">
        <v>17.016999999999999</v>
      </c>
      <c r="D574" s="117">
        <v>45.9</v>
      </c>
      <c r="E574" s="117"/>
      <c r="F574" s="117">
        <v>225</v>
      </c>
      <c r="G574" s="117">
        <v>750</v>
      </c>
      <c r="H574" s="123"/>
      <c r="I574" s="117" t="s">
        <v>122</v>
      </c>
      <c r="J574" s="115">
        <v>376</v>
      </c>
      <c r="K574" s="115" t="s">
        <v>23</v>
      </c>
      <c r="L574" s="117" t="s">
        <v>24</v>
      </c>
      <c r="M574" s="66">
        <v>189715</v>
      </c>
      <c r="N574" s="66">
        <v>4133</v>
      </c>
      <c r="O574" s="66">
        <v>64503</v>
      </c>
      <c r="P574" s="66">
        <v>254219</v>
      </c>
      <c r="Q574" s="67">
        <v>0.4</v>
      </c>
      <c r="R574" s="66">
        <v>101687</v>
      </c>
      <c r="S574" s="66">
        <v>355906</v>
      </c>
      <c r="T574" s="106">
        <f>IF(A574="Upgrade",IF(OR(H574=4,H574=5),_xlfn.XLOOKUP(I574,'Renewal Rates'!$A$22:$A$27,'Renewal Rates'!$B$22:$B$27,'Renewal Rates'!$B$27,0),'Renewal Rates'!$F$7),IF(A574="Renewal",100%,0%))</f>
        <v>2.6599999999999999E-2</v>
      </c>
      <c r="U574" s="68">
        <f t="shared" si="8"/>
        <v>9467.0995999999996</v>
      </c>
    </row>
    <row r="575" spans="1:21" s="41" customFormat="1" ht="13.8" x14ac:dyDescent="0.3">
      <c r="A575" s="115" t="s">
        <v>21</v>
      </c>
      <c r="B575" s="116">
        <v>2000627743</v>
      </c>
      <c r="C575" s="116">
        <v>17.016999999999999</v>
      </c>
      <c r="D575" s="117">
        <v>69.8</v>
      </c>
      <c r="E575" s="117"/>
      <c r="F575" s="117">
        <v>225</v>
      </c>
      <c r="G575" s="117">
        <v>750</v>
      </c>
      <c r="H575" s="123"/>
      <c r="I575" s="117" t="s">
        <v>122</v>
      </c>
      <c r="J575" s="115">
        <v>376</v>
      </c>
      <c r="K575" s="115" t="s">
        <v>23</v>
      </c>
      <c r="L575" s="117" t="s">
        <v>24</v>
      </c>
      <c r="M575" s="66">
        <v>304949</v>
      </c>
      <c r="N575" s="66">
        <v>4372</v>
      </c>
      <c r="O575" s="66">
        <v>103683</v>
      </c>
      <c r="P575" s="66">
        <v>408632</v>
      </c>
      <c r="Q575" s="67">
        <v>0.4</v>
      </c>
      <c r="R575" s="66">
        <v>163453</v>
      </c>
      <c r="S575" s="66">
        <v>572085</v>
      </c>
      <c r="T575" s="106">
        <f>IF(A575="Upgrade",IF(OR(H575=4,H575=5),_xlfn.XLOOKUP(I575,'Renewal Rates'!$A$22:$A$27,'Renewal Rates'!$B$22:$B$27,'Renewal Rates'!$B$27,0),'Renewal Rates'!$F$7),IF(A575="Renewal",100%,0%))</f>
        <v>2.6599999999999999E-2</v>
      </c>
      <c r="U575" s="68">
        <f t="shared" si="8"/>
        <v>15217.460999999999</v>
      </c>
    </row>
    <row r="576" spans="1:21" s="41" customFormat="1" ht="13.8" x14ac:dyDescent="0.3">
      <c r="A576" s="115" t="s">
        <v>21</v>
      </c>
      <c r="B576" s="116">
        <v>2000923377</v>
      </c>
      <c r="C576" s="116">
        <v>17.016999999999999</v>
      </c>
      <c r="D576" s="117">
        <v>20.2</v>
      </c>
      <c r="E576" s="117"/>
      <c r="F576" s="117">
        <v>225</v>
      </c>
      <c r="G576" s="117">
        <v>750</v>
      </c>
      <c r="H576" s="123"/>
      <c r="I576" s="117" t="s">
        <v>122</v>
      </c>
      <c r="J576" s="115">
        <v>376</v>
      </c>
      <c r="K576" s="115" t="s">
        <v>23</v>
      </c>
      <c r="L576" s="117" t="s">
        <v>24</v>
      </c>
      <c r="M576" s="66">
        <v>115846</v>
      </c>
      <c r="N576" s="66">
        <v>5744</v>
      </c>
      <c r="O576" s="66">
        <v>39388</v>
      </c>
      <c r="P576" s="66">
        <v>155234</v>
      </c>
      <c r="Q576" s="67">
        <v>0.4</v>
      </c>
      <c r="R576" s="66">
        <v>62094</v>
      </c>
      <c r="S576" s="66">
        <v>217328</v>
      </c>
      <c r="T576" s="106">
        <f>IF(A576="Upgrade",IF(OR(H576=4,H576=5),_xlfn.XLOOKUP(I576,'Renewal Rates'!$A$22:$A$27,'Renewal Rates'!$B$22:$B$27,'Renewal Rates'!$B$27,0),'Renewal Rates'!$F$7),IF(A576="Renewal",100%,0%))</f>
        <v>2.6599999999999999E-2</v>
      </c>
      <c r="U576" s="68">
        <f t="shared" si="8"/>
        <v>5780.9247999999998</v>
      </c>
    </row>
    <row r="577" spans="1:21" s="41" customFormat="1" ht="13.8" x14ac:dyDescent="0.3">
      <c r="A577" s="115" t="s">
        <v>21</v>
      </c>
      <c r="B577" s="116">
        <v>3000015173</v>
      </c>
      <c r="C577" s="116">
        <v>17.015999999999998</v>
      </c>
      <c r="D577" s="117">
        <v>39.299999999999997</v>
      </c>
      <c r="E577" s="117"/>
      <c r="F577" s="117">
        <v>225</v>
      </c>
      <c r="G577" s="117">
        <v>600</v>
      </c>
      <c r="H577" s="123"/>
      <c r="I577" s="117" t="s">
        <v>122</v>
      </c>
      <c r="J577" s="115">
        <v>376</v>
      </c>
      <c r="K577" s="115" t="s">
        <v>23</v>
      </c>
      <c r="L577" s="117" t="s">
        <v>24</v>
      </c>
      <c r="M577" s="66">
        <v>158828</v>
      </c>
      <c r="N577" s="66">
        <v>4038</v>
      </c>
      <c r="O577" s="66">
        <v>54002</v>
      </c>
      <c r="P577" s="66">
        <v>212830</v>
      </c>
      <c r="Q577" s="67">
        <v>0.4</v>
      </c>
      <c r="R577" s="66">
        <v>85132</v>
      </c>
      <c r="S577" s="66">
        <v>297962</v>
      </c>
      <c r="T577" s="106">
        <f>IF(A577="Upgrade",IF(OR(H577=4,H577=5),_xlfn.XLOOKUP(I577,'Renewal Rates'!$A$22:$A$27,'Renewal Rates'!$B$22:$B$27,'Renewal Rates'!$B$27,0),'Renewal Rates'!$F$7),IF(A577="Renewal",100%,0%))</f>
        <v>2.6599999999999999E-2</v>
      </c>
      <c r="U577" s="68">
        <f t="shared" si="8"/>
        <v>7925.7891999999993</v>
      </c>
    </row>
    <row r="578" spans="1:21" s="41" customFormat="1" ht="13.8" x14ac:dyDescent="0.3">
      <c r="A578" s="115" t="s">
        <v>21</v>
      </c>
      <c r="B578" s="116">
        <v>3000015172</v>
      </c>
      <c r="C578" s="116">
        <v>17.015999999999998</v>
      </c>
      <c r="D578" s="117">
        <v>62.7</v>
      </c>
      <c r="E578" s="117"/>
      <c r="F578" s="117">
        <v>225</v>
      </c>
      <c r="G578" s="117">
        <v>600</v>
      </c>
      <c r="H578" s="123"/>
      <c r="I578" s="117" t="s">
        <v>122</v>
      </c>
      <c r="J578" s="115">
        <v>376</v>
      </c>
      <c r="K578" s="115" t="s">
        <v>23</v>
      </c>
      <c r="L578" s="117" t="s">
        <v>24</v>
      </c>
      <c r="M578" s="66">
        <v>240284</v>
      </c>
      <c r="N578" s="66">
        <v>3832</v>
      </c>
      <c r="O578" s="66">
        <v>81696</v>
      </c>
      <c r="P578" s="66">
        <v>321980</v>
      </c>
      <c r="Q578" s="67">
        <v>0.4</v>
      </c>
      <c r="R578" s="66">
        <v>128792</v>
      </c>
      <c r="S578" s="66">
        <v>450772</v>
      </c>
      <c r="T578" s="106">
        <f>IF(A578="Upgrade",IF(OR(H578=4,H578=5),_xlfn.XLOOKUP(I578,'Renewal Rates'!$A$22:$A$27,'Renewal Rates'!$B$22:$B$27,'Renewal Rates'!$B$27,0),'Renewal Rates'!$F$7),IF(A578="Renewal",100%,0%))</f>
        <v>2.6599999999999999E-2</v>
      </c>
      <c r="U578" s="68">
        <f t="shared" si="8"/>
        <v>11990.5352</v>
      </c>
    </row>
    <row r="579" spans="1:21" s="41" customFormat="1" ht="13.8" x14ac:dyDescent="0.3">
      <c r="A579" s="115" t="s">
        <v>21</v>
      </c>
      <c r="B579" s="116">
        <v>2000754530</v>
      </c>
      <c r="C579" s="116">
        <v>17.015999999999998</v>
      </c>
      <c r="D579" s="117">
        <v>90</v>
      </c>
      <c r="E579" s="117"/>
      <c r="F579" s="117">
        <v>300</v>
      </c>
      <c r="G579" s="117">
        <v>600</v>
      </c>
      <c r="H579" s="123"/>
      <c r="I579" s="117" t="s">
        <v>122</v>
      </c>
      <c r="J579" s="115">
        <v>376</v>
      </c>
      <c r="K579" s="115" t="s">
        <v>23</v>
      </c>
      <c r="L579" s="117" t="s">
        <v>24</v>
      </c>
      <c r="M579" s="66">
        <v>307336</v>
      </c>
      <c r="N579" s="66">
        <v>3417</v>
      </c>
      <c r="O579" s="66">
        <v>104494</v>
      </c>
      <c r="P579" s="66">
        <v>411830</v>
      </c>
      <c r="Q579" s="67">
        <v>0.4</v>
      </c>
      <c r="R579" s="66">
        <v>164732</v>
      </c>
      <c r="S579" s="66">
        <v>576562</v>
      </c>
      <c r="T579" s="106">
        <f>IF(A579="Upgrade",IF(OR(H579=4,H579=5),_xlfn.XLOOKUP(I579,'Renewal Rates'!$A$22:$A$27,'Renewal Rates'!$B$22:$B$27,'Renewal Rates'!$B$27,0),'Renewal Rates'!$F$7),IF(A579="Renewal",100%,0%))</f>
        <v>2.6599999999999999E-2</v>
      </c>
      <c r="U579" s="68">
        <f t="shared" si="8"/>
        <v>15336.549199999999</v>
      </c>
    </row>
    <row r="580" spans="1:21" s="41" customFormat="1" ht="13.8" x14ac:dyDescent="0.3">
      <c r="A580" s="115" t="s">
        <v>25</v>
      </c>
      <c r="B580" s="116" t="s">
        <v>22</v>
      </c>
      <c r="C580" s="116">
        <v>17.015000000000001</v>
      </c>
      <c r="D580" s="117"/>
      <c r="E580" s="117">
        <v>100.1</v>
      </c>
      <c r="F580" s="117"/>
      <c r="G580" s="117">
        <v>375</v>
      </c>
      <c r="H580" s="123"/>
      <c r="I580" s="117" t="s">
        <v>122</v>
      </c>
      <c r="J580" s="115">
        <v>376</v>
      </c>
      <c r="K580" s="115" t="s">
        <v>23</v>
      </c>
      <c r="L580" s="117" t="s">
        <v>24</v>
      </c>
      <c r="M580" s="66">
        <v>237666</v>
      </c>
      <c r="N580" s="66">
        <v>2374</v>
      </c>
      <c r="O580" s="66">
        <v>80806</v>
      </c>
      <c r="P580" s="66">
        <v>318473</v>
      </c>
      <c r="Q580" s="67">
        <v>0.4</v>
      </c>
      <c r="R580" s="66">
        <v>127389</v>
      </c>
      <c r="S580" s="66">
        <v>445862</v>
      </c>
      <c r="T580" s="106">
        <f>IF(A580="Upgrade",IF(OR(H580=4,H580=5),_xlfn.XLOOKUP(I580,'Renewal Rates'!$A$22:$A$27,'Renewal Rates'!$B$22:$B$27,'Renewal Rates'!$B$27,0),'Renewal Rates'!$F$7),IF(A580="Renewal",100%,0%))</f>
        <v>0</v>
      </c>
      <c r="U580" s="68">
        <f t="shared" ref="U580:U613" si="9">S580*T580</f>
        <v>0</v>
      </c>
    </row>
    <row r="581" spans="1:21" s="41" customFormat="1" ht="13.8" x14ac:dyDescent="0.3">
      <c r="A581" s="115" t="s">
        <v>25</v>
      </c>
      <c r="B581" s="116" t="s">
        <v>22</v>
      </c>
      <c r="C581" s="116">
        <v>17.010999999999999</v>
      </c>
      <c r="D581" s="117"/>
      <c r="E581" s="117">
        <v>96.8</v>
      </c>
      <c r="F581" s="117"/>
      <c r="G581" s="117">
        <v>300</v>
      </c>
      <c r="H581" s="123"/>
      <c r="I581" s="117" t="s">
        <v>122</v>
      </c>
      <c r="J581" s="115">
        <v>376</v>
      </c>
      <c r="K581" s="115" t="s">
        <v>23</v>
      </c>
      <c r="L581" s="117" t="s">
        <v>24</v>
      </c>
      <c r="M581" s="66">
        <v>175321</v>
      </c>
      <c r="N581" s="66">
        <v>1811</v>
      </c>
      <c r="O581" s="66">
        <v>59609</v>
      </c>
      <c r="P581" s="66">
        <v>234930</v>
      </c>
      <c r="Q581" s="67">
        <v>0.4</v>
      </c>
      <c r="R581" s="66">
        <v>93972</v>
      </c>
      <c r="S581" s="66">
        <v>328903</v>
      </c>
      <c r="T581" s="106">
        <f>IF(A581="Upgrade",IF(OR(H581=4,H581=5),_xlfn.XLOOKUP(I581,'Renewal Rates'!$A$22:$A$27,'Renewal Rates'!$B$22:$B$27,'Renewal Rates'!$B$27,0),'Renewal Rates'!$F$7),IF(A581="Renewal",100%,0%))</f>
        <v>0</v>
      </c>
      <c r="U581" s="68">
        <f t="shared" si="9"/>
        <v>0</v>
      </c>
    </row>
    <row r="582" spans="1:21" s="41" customFormat="1" ht="13.8" x14ac:dyDescent="0.3">
      <c r="A582" s="115" t="s">
        <v>21</v>
      </c>
      <c r="B582" s="116">
        <v>2000420950</v>
      </c>
      <c r="C582" s="116">
        <v>17.021000000000001</v>
      </c>
      <c r="D582" s="117">
        <v>55.9</v>
      </c>
      <c r="E582" s="117"/>
      <c r="F582" s="117">
        <v>225</v>
      </c>
      <c r="G582" s="117">
        <v>825</v>
      </c>
      <c r="H582" s="123"/>
      <c r="I582" s="117" t="s">
        <v>122</v>
      </c>
      <c r="J582" s="115">
        <v>376</v>
      </c>
      <c r="K582" s="115" t="s">
        <v>23</v>
      </c>
      <c r="L582" s="117" t="s">
        <v>24</v>
      </c>
      <c r="M582" s="66">
        <v>274934</v>
      </c>
      <c r="N582" s="66">
        <v>4918</v>
      </c>
      <c r="O582" s="66">
        <v>93477</v>
      </c>
      <c r="P582" s="66">
        <v>368411</v>
      </c>
      <c r="Q582" s="67">
        <v>0.4</v>
      </c>
      <c r="R582" s="66">
        <v>147364</v>
      </c>
      <c r="S582" s="66">
        <v>515775</v>
      </c>
      <c r="T582" s="106">
        <f>IF(A582="Upgrade",IF(OR(H582=4,H582=5),_xlfn.XLOOKUP(I582,'Renewal Rates'!$A$22:$A$27,'Renewal Rates'!$B$22:$B$27,'Renewal Rates'!$B$27,0),'Renewal Rates'!$F$7),IF(A582="Renewal",100%,0%))</f>
        <v>2.6599999999999999E-2</v>
      </c>
      <c r="U582" s="68">
        <f t="shared" si="9"/>
        <v>13719.615</v>
      </c>
    </row>
    <row r="583" spans="1:21" s="41" customFormat="1" ht="13.8" x14ac:dyDescent="0.3">
      <c r="A583" s="115" t="s">
        <v>21</v>
      </c>
      <c r="B583" s="116">
        <v>2000424809</v>
      </c>
      <c r="C583" s="116">
        <v>17.021000000000001</v>
      </c>
      <c r="D583" s="117">
        <v>17.399999999999999</v>
      </c>
      <c r="E583" s="117"/>
      <c r="F583" s="117">
        <v>225</v>
      </c>
      <c r="G583" s="117">
        <v>825</v>
      </c>
      <c r="H583" s="123"/>
      <c r="I583" s="117" t="s">
        <v>122</v>
      </c>
      <c r="J583" s="115">
        <v>376</v>
      </c>
      <c r="K583" s="115" t="s">
        <v>23</v>
      </c>
      <c r="L583" s="117" t="s">
        <v>24</v>
      </c>
      <c r="M583" s="66">
        <v>114490</v>
      </c>
      <c r="N583" s="66">
        <v>6576</v>
      </c>
      <c r="O583" s="66">
        <v>38927</v>
      </c>
      <c r="P583" s="66">
        <v>153417</v>
      </c>
      <c r="Q583" s="67">
        <v>0.4</v>
      </c>
      <c r="R583" s="66">
        <v>61367</v>
      </c>
      <c r="S583" s="66">
        <v>214784</v>
      </c>
      <c r="T583" s="106">
        <f>IF(A583="Upgrade",IF(OR(H583=4,H583=5),_xlfn.XLOOKUP(I583,'Renewal Rates'!$A$22:$A$27,'Renewal Rates'!$B$22:$B$27,'Renewal Rates'!$B$27,0),'Renewal Rates'!$F$7),IF(A583="Renewal",100%,0%))</f>
        <v>2.6599999999999999E-2</v>
      </c>
      <c r="U583" s="68">
        <f t="shared" si="9"/>
        <v>5713.2543999999998</v>
      </c>
    </row>
    <row r="584" spans="1:21" s="41" customFormat="1" ht="13.8" x14ac:dyDescent="0.3">
      <c r="A584" s="115" t="s">
        <v>21</v>
      </c>
      <c r="B584" s="116">
        <v>2000761557</v>
      </c>
      <c r="C584" s="116">
        <v>17.021000000000001</v>
      </c>
      <c r="D584" s="117">
        <v>12.5</v>
      </c>
      <c r="E584" s="117"/>
      <c r="F584" s="117">
        <v>225</v>
      </c>
      <c r="G584" s="117">
        <v>825</v>
      </c>
      <c r="H584" s="123"/>
      <c r="I584" s="117" t="s">
        <v>122</v>
      </c>
      <c r="J584" s="115">
        <v>376</v>
      </c>
      <c r="K584" s="115" t="s">
        <v>23</v>
      </c>
      <c r="L584" s="117" t="s">
        <v>24</v>
      </c>
      <c r="M584" s="66">
        <v>111014</v>
      </c>
      <c r="N584" s="66">
        <v>8860</v>
      </c>
      <c r="O584" s="66">
        <v>37745</v>
      </c>
      <c r="P584" s="66">
        <v>148758</v>
      </c>
      <c r="Q584" s="67">
        <v>0.4</v>
      </c>
      <c r="R584" s="66">
        <v>59503</v>
      </c>
      <c r="S584" s="66">
        <v>208261</v>
      </c>
      <c r="T584" s="106">
        <f>IF(A584="Upgrade",IF(OR(H584=4,H584=5),_xlfn.XLOOKUP(I584,'Renewal Rates'!$A$22:$A$27,'Renewal Rates'!$B$22:$B$27,'Renewal Rates'!$B$27,0),'Renewal Rates'!$F$7),IF(A584="Renewal",100%,0%))</f>
        <v>2.6599999999999999E-2</v>
      </c>
      <c r="U584" s="68">
        <f t="shared" si="9"/>
        <v>5539.7425999999996</v>
      </c>
    </row>
    <row r="585" spans="1:21" s="41" customFormat="1" ht="13.8" x14ac:dyDescent="0.3">
      <c r="A585" s="115" t="s">
        <v>21</v>
      </c>
      <c r="B585" s="116">
        <v>2000878036</v>
      </c>
      <c r="C585" s="116">
        <v>17.021000000000001</v>
      </c>
      <c r="D585" s="117">
        <v>39.299999999999997</v>
      </c>
      <c r="E585" s="117"/>
      <c r="F585" s="117">
        <v>225</v>
      </c>
      <c r="G585" s="117">
        <v>825</v>
      </c>
      <c r="H585" s="123"/>
      <c r="I585" s="117" t="s">
        <v>122</v>
      </c>
      <c r="J585" s="115">
        <v>376</v>
      </c>
      <c r="K585" s="115" t="s">
        <v>23</v>
      </c>
      <c r="L585" s="117" t="s">
        <v>24</v>
      </c>
      <c r="M585" s="66">
        <v>186695</v>
      </c>
      <c r="N585" s="66">
        <v>4753</v>
      </c>
      <c r="O585" s="66">
        <v>63476</v>
      </c>
      <c r="P585" s="66">
        <v>250172</v>
      </c>
      <c r="Q585" s="67">
        <v>0.4</v>
      </c>
      <c r="R585" s="66">
        <v>100069</v>
      </c>
      <c r="S585" s="66">
        <v>350240</v>
      </c>
      <c r="T585" s="106">
        <f>IF(A585="Upgrade",IF(OR(H585=4,H585=5),_xlfn.XLOOKUP(I585,'Renewal Rates'!$A$22:$A$27,'Renewal Rates'!$B$22:$B$27,'Renewal Rates'!$B$27,0),'Renewal Rates'!$F$7),IF(A585="Renewal",100%,0%))</f>
        <v>2.6599999999999999E-2</v>
      </c>
      <c r="U585" s="68">
        <f t="shared" si="9"/>
        <v>9316.384</v>
      </c>
    </row>
    <row r="586" spans="1:21" s="41" customFormat="1" ht="13.8" x14ac:dyDescent="0.3">
      <c r="A586" s="115" t="s">
        <v>25</v>
      </c>
      <c r="B586" s="116" t="s">
        <v>22</v>
      </c>
      <c r="C586" s="116">
        <v>17.013999999999999</v>
      </c>
      <c r="D586" s="117"/>
      <c r="E586" s="117">
        <v>113.8</v>
      </c>
      <c r="F586" s="117"/>
      <c r="G586" s="117">
        <v>750</v>
      </c>
      <c r="H586" s="123"/>
      <c r="I586" s="117" t="s">
        <v>122</v>
      </c>
      <c r="J586" s="115">
        <v>376</v>
      </c>
      <c r="K586" s="115" t="s">
        <v>23</v>
      </c>
      <c r="L586" s="117" t="s">
        <v>24</v>
      </c>
      <c r="M586" s="66">
        <v>467024</v>
      </c>
      <c r="N586" s="66">
        <v>4105</v>
      </c>
      <c r="O586" s="66">
        <v>158788</v>
      </c>
      <c r="P586" s="66">
        <v>625812</v>
      </c>
      <c r="Q586" s="67">
        <v>0.4</v>
      </c>
      <c r="R586" s="66">
        <v>250325</v>
      </c>
      <c r="S586" s="66">
        <v>876137</v>
      </c>
      <c r="T586" s="106">
        <f>IF(A586="Upgrade",IF(OR(H586=4,H586=5),_xlfn.XLOOKUP(I586,'Renewal Rates'!$A$22:$A$27,'Renewal Rates'!$B$22:$B$27,'Renewal Rates'!$B$27,0),'Renewal Rates'!$F$7),IF(A586="Renewal",100%,0%))</f>
        <v>0</v>
      </c>
      <c r="U586" s="68">
        <f t="shared" si="9"/>
        <v>0</v>
      </c>
    </row>
    <row r="587" spans="1:21" s="41" customFormat="1" ht="13.8" x14ac:dyDescent="0.3">
      <c r="A587" s="115" t="s">
        <v>25</v>
      </c>
      <c r="B587" s="116" t="s">
        <v>22</v>
      </c>
      <c r="C587" s="116">
        <v>17.012</v>
      </c>
      <c r="D587" s="117"/>
      <c r="E587" s="117">
        <v>153.6</v>
      </c>
      <c r="F587" s="117"/>
      <c r="G587" s="117">
        <v>450</v>
      </c>
      <c r="H587" s="123"/>
      <c r="I587" s="117" t="s">
        <v>122</v>
      </c>
      <c r="J587" s="115">
        <v>376</v>
      </c>
      <c r="K587" s="115" t="s">
        <v>23</v>
      </c>
      <c r="L587" s="117" t="s">
        <v>24</v>
      </c>
      <c r="M587" s="66">
        <v>406258</v>
      </c>
      <c r="N587" s="66">
        <v>2645</v>
      </c>
      <c r="O587" s="66">
        <v>138128</v>
      </c>
      <c r="P587" s="66">
        <v>544386</v>
      </c>
      <c r="Q587" s="67">
        <v>0.4</v>
      </c>
      <c r="R587" s="66">
        <v>217755</v>
      </c>
      <c r="S587" s="66">
        <v>762141</v>
      </c>
      <c r="T587" s="106">
        <f>IF(A587="Upgrade",IF(OR(H587=4,H587=5),_xlfn.XLOOKUP(I587,'Renewal Rates'!$A$22:$A$27,'Renewal Rates'!$B$22:$B$27,'Renewal Rates'!$B$27,0),'Renewal Rates'!$F$7),IF(A587="Renewal",100%,0%))</f>
        <v>0</v>
      </c>
      <c r="U587" s="68">
        <f t="shared" si="9"/>
        <v>0</v>
      </c>
    </row>
    <row r="588" spans="1:21" s="41" customFormat="1" ht="13.8" x14ac:dyDescent="0.3">
      <c r="A588" s="115" t="s">
        <v>25</v>
      </c>
      <c r="B588" s="116" t="s">
        <v>22</v>
      </c>
      <c r="C588" s="116">
        <v>17.013000000000002</v>
      </c>
      <c r="D588" s="117"/>
      <c r="E588" s="117">
        <v>74.099999999999994</v>
      </c>
      <c r="F588" s="117"/>
      <c r="G588" s="117">
        <v>975</v>
      </c>
      <c r="H588" s="123"/>
      <c r="I588" s="117" t="s">
        <v>122</v>
      </c>
      <c r="J588" s="115">
        <v>376</v>
      </c>
      <c r="K588" s="115" t="s">
        <v>23</v>
      </c>
      <c r="L588" s="117" t="s">
        <v>24</v>
      </c>
      <c r="M588" s="66">
        <v>469982</v>
      </c>
      <c r="N588" s="66">
        <v>6345</v>
      </c>
      <c r="O588" s="66">
        <v>159794</v>
      </c>
      <c r="P588" s="66">
        <v>629776</v>
      </c>
      <c r="Q588" s="67">
        <v>0.4</v>
      </c>
      <c r="R588" s="66">
        <v>251910</v>
      </c>
      <c r="S588" s="66">
        <v>881686</v>
      </c>
      <c r="T588" s="106">
        <f>IF(A588="Upgrade",IF(OR(H588=4,H588=5),_xlfn.XLOOKUP(I588,'Renewal Rates'!$A$22:$A$27,'Renewal Rates'!$B$22:$B$27,'Renewal Rates'!$B$27,0),'Renewal Rates'!$F$7),IF(A588="Renewal",100%,0%))</f>
        <v>0</v>
      </c>
      <c r="U588" s="68">
        <f t="shared" si="9"/>
        <v>0</v>
      </c>
    </row>
    <row r="589" spans="1:21" s="41" customFormat="1" ht="13.8" x14ac:dyDescent="0.3">
      <c r="A589" s="115" t="s">
        <v>21</v>
      </c>
      <c r="B589" s="116">
        <v>2000404884</v>
      </c>
      <c r="C589" s="116">
        <v>17.033999999999999</v>
      </c>
      <c r="D589" s="117">
        <v>52.6</v>
      </c>
      <c r="E589" s="117"/>
      <c r="F589" s="117">
        <v>450</v>
      </c>
      <c r="G589" s="117">
        <v>825</v>
      </c>
      <c r="H589" s="123"/>
      <c r="I589" s="117" t="s">
        <v>122</v>
      </c>
      <c r="J589" s="115">
        <v>376</v>
      </c>
      <c r="K589" s="115" t="s">
        <v>23</v>
      </c>
      <c r="L589" s="117" t="s">
        <v>24</v>
      </c>
      <c r="M589" s="66">
        <v>293234</v>
      </c>
      <c r="N589" s="66">
        <v>5579</v>
      </c>
      <c r="O589" s="66">
        <v>99699</v>
      </c>
      <c r="P589" s="66">
        <v>392933</v>
      </c>
      <c r="Q589" s="67">
        <v>0.4</v>
      </c>
      <c r="R589" s="66">
        <v>157173</v>
      </c>
      <c r="S589" s="66">
        <v>550106</v>
      </c>
      <c r="T589" s="106">
        <f>IF(A589="Upgrade",IF(OR(H589=4,H589=5),_xlfn.XLOOKUP(I589,'Renewal Rates'!$A$22:$A$27,'Renewal Rates'!$B$22:$B$27,'Renewal Rates'!$B$27,0),'Renewal Rates'!$F$7),IF(A589="Renewal",100%,0%))</f>
        <v>2.6599999999999999E-2</v>
      </c>
      <c r="U589" s="68">
        <f t="shared" si="9"/>
        <v>14632.819599999999</v>
      </c>
    </row>
    <row r="590" spans="1:21" s="41" customFormat="1" ht="13.8" x14ac:dyDescent="0.3">
      <c r="A590" s="115" t="s">
        <v>21</v>
      </c>
      <c r="B590" s="116">
        <v>2000477950</v>
      </c>
      <c r="C590" s="116">
        <v>17.033999999999999</v>
      </c>
      <c r="D590" s="117">
        <v>46.9</v>
      </c>
      <c r="E590" s="117"/>
      <c r="F590" s="117">
        <v>375</v>
      </c>
      <c r="G590" s="117">
        <v>825</v>
      </c>
      <c r="H590" s="123"/>
      <c r="I590" s="117" t="s">
        <v>122</v>
      </c>
      <c r="J590" s="115">
        <v>376</v>
      </c>
      <c r="K590" s="115" t="s">
        <v>23</v>
      </c>
      <c r="L590" s="117" t="s">
        <v>24</v>
      </c>
      <c r="M590" s="66">
        <v>241176</v>
      </c>
      <c r="N590" s="66">
        <v>5140</v>
      </c>
      <c r="O590" s="66">
        <v>82000</v>
      </c>
      <c r="P590" s="66">
        <v>323175</v>
      </c>
      <c r="Q590" s="67">
        <v>0.4</v>
      </c>
      <c r="R590" s="66">
        <v>129270</v>
      </c>
      <c r="S590" s="66">
        <v>452446</v>
      </c>
      <c r="T590" s="106">
        <f>IF(A590="Upgrade",IF(OR(H590=4,H590=5),_xlfn.XLOOKUP(I590,'Renewal Rates'!$A$22:$A$27,'Renewal Rates'!$B$22:$B$27,'Renewal Rates'!$B$27,0),'Renewal Rates'!$F$7),IF(A590="Renewal",100%,0%))</f>
        <v>2.6599999999999999E-2</v>
      </c>
      <c r="U590" s="68">
        <f t="shared" si="9"/>
        <v>12035.063599999999</v>
      </c>
    </row>
    <row r="591" spans="1:21" s="41" customFormat="1" ht="13.8" x14ac:dyDescent="0.3">
      <c r="A591" s="115" t="s">
        <v>21</v>
      </c>
      <c r="B591" s="116">
        <v>2000903279</v>
      </c>
      <c r="C591" s="116">
        <v>17.033000000000001</v>
      </c>
      <c r="D591" s="117">
        <v>76.3</v>
      </c>
      <c r="E591" s="117"/>
      <c r="F591" s="117">
        <v>375</v>
      </c>
      <c r="G591" s="117">
        <v>750</v>
      </c>
      <c r="H591" s="123"/>
      <c r="I591" s="117" t="s">
        <v>122</v>
      </c>
      <c r="J591" s="115">
        <v>376</v>
      </c>
      <c r="K591" s="115" t="s">
        <v>23</v>
      </c>
      <c r="L591" s="117" t="s">
        <v>24</v>
      </c>
      <c r="M591" s="66">
        <v>356622</v>
      </c>
      <c r="N591" s="66">
        <v>4677</v>
      </c>
      <c r="O591" s="66">
        <v>121252</v>
      </c>
      <c r="P591" s="66">
        <v>477874</v>
      </c>
      <c r="Q591" s="67">
        <v>0.4</v>
      </c>
      <c r="R591" s="66">
        <v>191150</v>
      </c>
      <c r="S591" s="66">
        <v>669024</v>
      </c>
      <c r="T591" s="106">
        <f>IF(A591="Upgrade",IF(OR(H591=4,H591=5),_xlfn.XLOOKUP(I591,'Renewal Rates'!$A$22:$A$27,'Renewal Rates'!$B$22:$B$27,'Renewal Rates'!$B$27,0),'Renewal Rates'!$F$7),IF(A591="Renewal",100%,0%))</f>
        <v>2.6599999999999999E-2</v>
      </c>
      <c r="U591" s="68">
        <f t="shared" si="9"/>
        <v>17796.038399999998</v>
      </c>
    </row>
    <row r="592" spans="1:21" s="41" customFormat="1" ht="13.8" x14ac:dyDescent="0.3">
      <c r="A592" s="115" t="s">
        <v>21</v>
      </c>
      <c r="B592" s="116">
        <v>2000882935</v>
      </c>
      <c r="C592" s="116">
        <v>17.032</v>
      </c>
      <c r="D592" s="117">
        <v>63.1</v>
      </c>
      <c r="E592" s="117"/>
      <c r="F592" s="117">
        <v>225</v>
      </c>
      <c r="G592" s="117">
        <v>675</v>
      </c>
      <c r="H592" s="123"/>
      <c r="I592" s="117" t="s">
        <v>122</v>
      </c>
      <c r="J592" s="115">
        <v>376</v>
      </c>
      <c r="K592" s="115" t="s">
        <v>23</v>
      </c>
      <c r="L592" s="117" t="s">
        <v>24</v>
      </c>
      <c r="M592" s="66">
        <v>290462</v>
      </c>
      <c r="N592" s="66">
        <v>4605</v>
      </c>
      <c r="O592" s="66">
        <v>98757</v>
      </c>
      <c r="P592" s="66">
        <v>389220</v>
      </c>
      <c r="Q592" s="67">
        <v>0.4</v>
      </c>
      <c r="R592" s="66">
        <v>155688</v>
      </c>
      <c r="S592" s="66">
        <v>544908</v>
      </c>
      <c r="T592" s="106">
        <f>IF(A592="Upgrade",IF(OR(H592=4,H592=5),_xlfn.XLOOKUP(I592,'Renewal Rates'!$A$22:$A$27,'Renewal Rates'!$B$22:$B$27,'Renewal Rates'!$B$27,0),'Renewal Rates'!$F$7),IF(A592="Renewal",100%,0%))</f>
        <v>2.6599999999999999E-2</v>
      </c>
      <c r="U592" s="68">
        <f t="shared" si="9"/>
        <v>14494.552799999999</v>
      </c>
    </row>
    <row r="593" spans="1:21" s="41" customFormat="1" ht="13.8" x14ac:dyDescent="0.3">
      <c r="A593" s="115" t="s">
        <v>21</v>
      </c>
      <c r="B593" s="116">
        <v>2000545235</v>
      </c>
      <c r="C593" s="116">
        <v>17.030999999999999</v>
      </c>
      <c r="D593" s="117">
        <v>27.9</v>
      </c>
      <c r="E593" s="117"/>
      <c r="F593" s="117">
        <v>225</v>
      </c>
      <c r="G593" s="117">
        <v>525</v>
      </c>
      <c r="H593" s="123"/>
      <c r="I593" s="117" t="s">
        <v>122</v>
      </c>
      <c r="J593" s="115">
        <v>376</v>
      </c>
      <c r="K593" s="115" t="s">
        <v>23</v>
      </c>
      <c r="L593" s="117" t="s">
        <v>24</v>
      </c>
      <c r="M593" s="66">
        <v>107188</v>
      </c>
      <c r="N593" s="66">
        <v>3837</v>
      </c>
      <c r="O593" s="66">
        <v>36444</v>
      </c>
      <c r="P593" s="66">
        <v>143632</v>
      </c>
      <c r="Q593" s="67">
        <v>0.4</v>
      </c>
      <c r="R593" s="66">
        <v>57453</v>
      </c>
      <c r="S593" s="66">
        <v>201085</v>
      </c>
      <c r="T593" s="106">
        <f>IF(A593="Upgrade",IF(OR(H593=4,H593=5),_xlfn.XLOOKUP(I593,'Renewal Rates'!$A$22:$A$27,'Renewal Rates'!$B$22:$B$27,'Renewal Rates'!$B$27,0),'Renewal Rates'!$F$7),IF(A593="Renewal",100%,0%))</f>
        <v>2.6599999999999999E-2</v>
      </c>
      <c r="U593" s="68">
        <f t="shared" si="9"/>
        <v>5348.8609999999999</v>
      </c>
    </row>
    <row r="594" spans="1:21" s="41" customFormat="1" ht="13.8" x14ac:dyDescent="0.3">
      <c r="A594" s="115" t="s">
        <v>21</v>
      </c>
      <c r="B594" s="116">
        <v>2000113950</v>
      </c>
      <c r="C594" s="116">
        <v>17.030999999999999</v>
      </c>
      <c r="D594" s="117">
        <v>84.9</v>
      </c>
      <c r="E594" s="117"/>
      <c r="F594" s="117">
        <v>225</v>
      </c>
      <c r="G594" s="117">
        <v>525</v>
      </c>
      <c r="H594" s="123"/>
      <c r="I594" s="117" t="s">
        <v>122</v>
      </c>
      <c r="J594" s="115">
        <v>376</v>
      </c>
      <c r="K594" s="115" t="s">
        <v>23</v>
      </c>
      <c r="L594" s="117" t="s">
        <v>24</v>
      </c>
      <c r="M594" s="66">
        <v>253578</v>
      </c>
      <c r="N594" s="66">
        <v>2985</v>
      </c>
      <c r="O594" s="66">
        <v>86216</v>
      </c>
      <c r="P594" s="66">
        <v>339794</v>
      </c>
      <c r="Q594" s="67">
        <v>0.4</v>
      </c>
      <c r="R594" s="66">
        <v>135918</v>
      </c>
      <c r="S594" s="66">
        <v>475712</v>
      </c>
      <c r="T594" s="106">
        <f>IF(A594="Upgrade",IF(OR(H594=4,H594=5),_xlfn.XLOOKUP(I594,'Renewal Rates'!$A$22:$A$27,'Renewal Rates'!$B$22:$B$27,'Renewal Rates'!$B$27,0),'Renewal Rates'!$F$7),IF(A594="Renewal",100%,0%))</f>
        <v>2.6599999999999999E-2</v>
      </c>
      <c r="U594" s="68">
        <f t="shared" si="9"/>
        <v>12653.939199999999</v>
      </c>
    </row>
    <row r="595" spans="1:21" s="41" customFormat="1" ht="13.8" x14ac:dyDescent="0.3">
      <c r="A595" s="115" t="s">
        <v>21</v>
      </c>
      <c r="B595" s="116">
        <v>2000972924</v>
      </c>
      <c r="C595" s="116">
        <v>17.026</v>
      </c>
      <c r="D595" s="117">
        <v>24.9</v>
      </c>
      <c r="E595" s="117"/>
      <c r="F595" s="117">
        <v>900</v>
      </c>
      <c r="G595" s="117">
        <v>1350</v>
      </c>
      <c r="H595" s="123"/>
      <c r="I595" s="117" t="s">
        <v>122</v>
      </c>
      <c r="J595" s="115">
        <v>376</v>
      </c>
      <c r="K595" s="115" t="s">
        <v>23</v>
      </c>
      <c r="L595" s="117" t="s">
        <v>24</v>
      </c>
      <c r="M595" s="66">
        <v>183799</v>
      </c>
      <c r="N595" s="66">
        <v>7369</v>
      </c>
      <c r="O595" s="66">
        <v>62492</v>
      </c>
      <c r="P595" s="66">
        <v>246291</v>
      </c>
      <c r="Q595" s="67">
        <v>0.4</v>
      </c>
      <c r="R595" s="66">
        <v>98516</v>
      </c>
      <c r="S595" s="66">
        <v>344807</v>
      </c>
      <c r="T595" s="106">
        <f>IF(A595="Upgrade",IF(OR(H595=4,H595=5),_xlfn.XLOOKUP(I595,'Renewal Rates'!$A$22:$A$27,'Renewal Rates'!$B$22:$B$27,'Renewal Rates'!$B$27,0),'Renewal Rates'!$F$7),IF(A595="Renewal",100%,0%))</f>
        <v>2.6599999999999999E-2</v>
      </c>
      <c r="U595" s="68">
        <f t="shared" si="9"/>
        <v>9171.8662000000004</v>
      </c>
    </row>
    <row r="596" spans="1:21" s="41" customFormat="1" ht="13.8" x14ac:dyDescent="0.3">
      <c r="A596" s="115" t="s">
        <v>25</v>
      </c>
      <c r="B596" s="116" t="s">
        <v>22</v>
      </c>
      <c r="C596" s="116">
        <v>18.001000000000001</v>
      </c>
      <c r="D596" s="117"/>
      <c r="E596" s="117">
        <v>154.9</v>
      </c>
      <c r="F596" s="117"/>
      <c r="G596" s="117">
        <v>525</v>
      </c>
      <c r="H596" s="123"/>
      <c r="I596" s="117" t="s">
        <v>122</v>
      </c>
      <c r="J596" s="115">
        <v>377</v>
      </c>
      <c r="K596" s="115" t="s">
        <v>23</v>
      </c>
      <c r="L596" s="117" t="s">
        <v>24</v>
      </c>
      <c r="M596" s="66">
        <v>485403</v>
      </c>
      <c r="N596" s="66">
        <v>3133</v>
      </c>
      <c r="O596" s="66">
        <v>165037</v>
      </c>
      <c r="P596" s="66">
        <v>650440</v>
      </c>
      <c r="Q596" s="67">
        <v>0.4</v>
      </c>
      <c r="R596" s="66">
        <v>260176</v>
      </c>
      <c r="S596" s="66">
        <v>910616</v>
      </c>
      <c r="T596" s="106">
        <f>IF(A596="Upgrade",IF(OR(H596=4,H596=5),_xlfn.XLOOKUP(I596,'Renewal Rates'!$A$22:$A$27,'Renewal Rates'!$B$22:$B$27,'Renewal Rates'!$B$27,0),'Renewal Rates'!$F$7),IF(A596="Renewal",100%,0%))</f>
        <v>0</v>
      </c>
      <c r="U596" s="68">
        <f t="shared" si="9"/>
        <v>0</v>
      </c>
    </row>
    <row r="597" spans="1:21" s="41" customFormat="1" ht="13.8" x14ac:dyDescent="0.3">
      <c r="A597" s="115" t="s">
        <v>21</v>
      </c>
      <c r="B597" s="116">
        <v>2000268885</v>
      </c>
      <c r="C597" s="116">
        <v>18.004999999999999</v>
      </c>
      <c r="D597" s="117">
        <v>61.1</v>
      </c>
      <c r="E597" s="117"/>
      <c r="F597" s="117">
        <v>375</v>
      </c>
      <c r="G597" s="117">
        <v>825</v>
      </c>
      <c r="H597" s="123">
        <v>4</v>
      </c>
      <c r="I597" s="117">
        <v>5</v>
      </c>
      <c r="J597" s="115">
        <v>377</v>
      </c>
      <c r="K597" s="115" t="s">
        <v>23</v>
      </c>
      <c r="L597" s="117" t="s">
        <v>24</v>
      </c>
      <c r="M597" s="66">
        <v>325621</v>
      </c>
      <c r="N597" s="66">
        <v>5333</v>
      </c>
      <c r="O597" s="66">
        <v>110711</v>
      </c>
      <c r="P597" s="66">
        <v>436331</v>
      </c>
      <c r="Q597" s="67">
        <v>0.4</v>
      </c>
      <c r="R597" s="66">
        <v>174533</v>
      </c>
      <c r="S597" s="66">
        <v>610864</v>
      </c>
      <c r="T597" s="106">
        <f>IF(A597="Upgrade",IF(OR(H597=4,H597=5),_xlfn.XLOOKUP(I597,'Renewal Rates'!$A$22:$A$27,'Renewal Rates'!$B$22:$B$27,'Renewal Rates'!$B$27,0),'Renewal Rates'!$F$7),IF(A597="Renewal",100%,0%))</f>
        <v>0.7</v>
      </c>
      <c r="U597" s="68">
        <f t="shared" si="9"/>
        <v>427604.8</v>
      </c>
    </row>
    <row r="598" spans="1:21" s="41" customFormat="1" ht="13.8" x14ac:dyDescent="0.3">
      <c r="A598" s="115" t="s">
        <v>21</v>
      </c>
      <c r="B598" s="116">
        <v>2000190863</v>
      </c>
      <c r="C598" s="116">
        <v>18.004000000000001</v>
      </c>
      <c r="D598" s="117">
        <v>94.3</v>
      </c>
      <c r="E598" s="117"/>
      <c r="F598" s="117">
        <v>225</v>
      </c>
      <c r="G598" s="117">
        <v>750</v>
      </c>
      <c r="H598" s="123"/>
      <c r="I598" s="117" t="s">
        <v>122</v>
      </c>
      <c r="J598" s="115">
        <v>377</v>
      </c>
      <c r="K598" s="115" t="s">
        <v>23</v>
      </c>
      <c r="L598" s="117" t="s">
        <v>24</v>
      </c>
      <c r="M598" s="66">
        <v>377180</v>
      </c>
      <c r="N598" s="66">
        <v>4000</v>
      </c>
      <c r="O598" s="66">
        <v>128241</v>
      </c>
      <c r="P598" s="66">
        <v>505421</v>
      </c>
      <c r="Q598" s="67">
        <v>0.4</v>
      </c>
      <c r="R598" s="66">
        <v>202168</v>
      </c>
      <c r="S598" s="66">
        <v>707589</v>
      </c>
      <c r="T598" s="106">
        <f>IF(A598="Upgrade",IF(OR(H598=4,H598=5),_xlfn.XLOOKUP(I598,'Renewal Rates'!$A$22:$A$27,'Renewal Rates'!$B$22:$B$27,'Renewal Rates'!$B$27,0),'Renewal Rates'!$F$7),IF(A598="Renewal",100%,0%))</f>
        <v>2.6599999999999999E-2</v>
      </c>
      <c r="U598" s="68">
        <f t="shared" si="9"/>
        <v>18821.867399999999</v>
      </c>
    </row>
    <row r="599" spans="1:21" s="41" customFormat="1" ht="13.8" x14ac:dyDescent="0.3">
      <c r="A599" s="115" t="s">
        <v>21</v>
      </c>
      <c r="B599" s="116">
        <v>2000572710</v>
      </c>
      <c r="C599" s="116">
        <v>18.004000000000001</v>
      </c>
      <c r="D599" s="117">
        <v>16.2</v>
      </c>
      <c r="E599" s="117"/>
      <c r="F599" s="117">
        <v>225</v>
      </c>
      <c r="G599" s="117">
        <v>750</v>
      </c>
      <c r="H599" s="123"/>
      <c r="I599" s="117" t="s">
        <v>122</v>
      </c>
      <c r="J599" s="115">
        <v>377</v>
      </c>
      <c r="K599" s="115" t="s">
        <v>23</v>
      </c>
      <c r="L599" s="117" t="s">
        <v>24</v>
      </c>
      <c r="M599" s="66">
        <v>91060</v>
      </c>
      <c r="N599" s="66">
        <v>5609</v>
      </c>
      <c r="O599" s="66">
        <v>30960</v>
      </c>
      <c r="P599" s="66">
        <v>122020</v>
      </c>
      <c r="Q599" s="67">
        <v>0.4</v>
      </c>
      <c r="R599" s="66">
        <v>48808</v>
      </c>
      <c r="S599" s="66">
        <v>170829</v>
      </c>
      <c r="T599" s="106">
        <f>IF(A599="Upgrade",IF(OR(H599=4,H599=5),_xlfn.XLOOKUP(I599,'Renewal Rates'!$A$22:$A$27,'Renewal Rates'!$B$22:$B$27,'Renewal Rates'!$B$27,0),'Renewal Rates'!$F$7),IF(A599="Renewal",100%,0%))</f>
        <v>2.6599999999999999E-2</v>
      </c>
      <c r="U599" s="68">
        <f t="shared" si="9"/>
        <v>4544.0513999999994</v>
      </c>
    </row>
    <row r="600" spans="1:21" s="41" customFormat="1" ht="13.8" x14ac:dyDescent="0.3">
      <c r="A600" s="115" t="s">
        <v>21</v>
      </c>
      <c r="B600" s="116">
        <v>2000327450</v>
      </c>
      <c r="C600" s="116">
        <v>18.009</v>
      </c>
      <c r="D600" s="117">
        <v>31.6</v>
      </c>
      <c r="E600" s="117"/>
      <c r="F600" s="117">
        <v>225</v>
      </c>
      <c r="G600" s="117">
        <v>600</v>
      </c>
      <c r="H600" s="123"/>
      <c r="I600" s="117" t="s">
        <v>122</v>
      </c>
      <c r="J600" s="115">
        <v>377</v>
      </c>
      <c r="K600" s="115" t="s">
        <v>23</v>
      </c>
      <c r="L600" s="117" t="s">
        <v>24</v>
      </c>
      <c r="M600" s="66">
        <v>115020</v>
      </c>
      <c r="N600" s="66">
        <v>3639</v>
      </c>
      <c r="O600" s="66">
        <v>39107</v>
      </c>
      <c r="P600" s="66">
        <v>154127</v>
      </c>
      <c r="Q600" s="67">
        <v>0.4</v>
      </c>
      <c r="R600" s="66">
        <v>61651</v>
      </c>
      <c r="S600" s="66">
        <v>215778</v>
      </c>
      <c r="T600" s="106">
        <f>IF(A600="Upgrade",IF(OR(H600=4,H600=5),_xlfn.XLOOKUP(I600,'Renewal Rates'!$A$22:$A$27,'Renewal Rates'!$B$22:$B$27,'Renewal Rates'!$B$27,0),'Renewal Rates'!$F$7),IF(A600="Renewal",100%,0%))</f>
        <v>2.6599999999999999E-2</v>
      </c>
      <c r="U600" s="68">
        <f t="shared" si="9"/>
        <v>5739.6947999999993</v>
      </c>
    </row>
    <row r="601" spans="1:21" s="41" customFormat="1" ht="13.8" x14ac:dyDescent="0.3">
      <c r="A601" s="115" t="s">
        <v>21</v>
      </c>
      <c r="B601" s="116">
        <v>2000519107</v>
      </c>
      <c r="C601" s="116">
        <v>18.009</v>
      </c>
      <c r="D601" s="117">
        <v>5.0999999999999996</v>
      </c>
      <c r="E601" s="117"/>
      <c r="F601" s="117">
        <v>225</v>
      </c>
      <c r="G601" s="117">
        <v>600</v>
      </c>
      <c r="H601" s="123"/>
      <c r="I601" s="117" t="s">
        <v>122</v>
      </c>
      <c r="J601" s="115">
        <v>377</v>
      </c>
      <c r="K601" s="115" t="s">
        <v>23</v>
      </c>
      <c r="L601" s="117" t="s">
        <v>24</v>
      </c>
      <c r="M601" s="66">
        <v>48692</v>
      </c>
      <c r="N601" s="66">
        <v>9623</v>
      </c>
      <c r="O601" s="66">
        <v>16555</v>
      </c>
      <c r="P601" s="66">
        <v>65248</v>
      </c>
      <c r="Q601" s="67">
        <v>0.4</v>
      </c>
      <c r="R601" s="66">
        <v>26099</v>
      </c>
      <c r="S601" s="66">
        <v>91347</v>
      </c>
      <c r="T601" s="106">
        <f>IF(A601="Upgrade",IF(OR(H601=4,H601=5),_xlfn.XLOOKUP(I601,'Renewal Rates'!$A$22:$A$27,'Renewal Rates'!$B$22:$B$27,'Renewal Rates'!$B$27,0),'Renewal Rates'!$F$7),IF(A601="Renewal",100%,0%))</f>
        <v>2.6599999999999999E-2</v>
      </c>
      <c r="U601" s="68">
        <f t="shared" si="9"/>
        <v>2429.8301999999999</v>
      </c>
    </row>
    <row r="602" spans="1:21" s="41" customFormat="1" ht="13.8" x14ac:dyDescent="0.3">
      <c r="A602" s="115" t="s">
        <v>25</v>
      </c>
      <c r="B602" s="116" t="s">
        <v>22</v>
      </c>
      <c r="C602" s="116">
        <v>18.001999999999999</v>
      </c>
      <c r="D602" s="117"/>
      <c r="E602" s="117">
        <v>84.2</v>
      </c>
      <c r="F602" s="117"/>
      <c r="G602" s="117">
        <v>600</v>
      </c>
      <c r="H602" s="123"/>
      <c r="I602" s="117" t="s">
        <v>122</v>
      </c>
      <c r="J602" s="115">
        <v>377</v>
      </c>
      <c r="K602" s="115" t="s">
        <v>23</v>
      </c>
      <c r="L602" s="117" t="s">
        <v>24</v>
      </c>
      <c r="M602" s="66">
        <v>285034</v>
      </c>
      <c r="N602" s="66">
        <v>3384</v>
      </c>
      <c r="O602" s="66">
        <v>96912</v>
      </c>
      <c r="P602" s="66">
        <v>381946</v>
      </c>
      <c r="Q602" s="67">
        <v>0.4</v>
      </c>
      <c r="R602" s="66">
        <v>152778</v>
      </c>
      <c r="S602" s="66">
        <v>534724</v>
      </c>
      <c r="T602" s="106">
        <f>IF(A602="Upgrade",IF(OR(H602=4,H602=5),_xlfn.XLOOKUP(I602,'Renewal Rates'!$A$22:$A$27,'Renewal Rates'!$B$22:$B$27,'Renewal Rates'!$B$27,0),'Renewal Rates'!$F$7),IF(A602="Renewal",100%,0%))</f>
        <v>0</v>
      </c>
      <c r="U602" s="68">
        <f t="shared" si="9"/>
        <v>0</v>
      </c>
    </row>
    <row r="603" spans="1:21" s="41" customFormat="1" ht="13.8" x14ac:dyDescent="0.3">
      <c r="A603" s="115" t="s">
        <v>21</v>
      </c>
      <c r="B603" s="116">
        <v>2000362296</v>
      </c>
      <c r="C603" s="116">
        <v>18.007000000000001</v>
      </c>
      <c r="D603" s="117">
        <v>49.6</v>
      </c>
      <c r="E603" s="117"/>
      <c r="F603" s="117">
        <v>225</v>
      </c>
      <c r="G603" s="117">
        <v>450</v>
      </c>
      <c r="H603" s="123"/>
      <c r="I603" s="117" t="s">
        <v>122</v>
      </c>
      <c r="J603" s="115">
        <v>377</v>
      </c>
      <c r="K603" s="115" t="s">
        <v>23</v>
      </c>
      <c r="L603" s="117" t="s">
        <v>24</v>
      </c>
      <c r="M603" s="66">
        <v>154454</v>
      </c>
      <c r="N603" s="66">
        <v>3112</v>
      </c>
      <c r="O603" s="66">
        <v>52514</v>
      </c>
      <c r="P603" s="66">
        <v>206968</v>
      </c>
      <c r="Q603" s="67">
        <v>0.4</v>
      </c>
      <c r="R603" s="66">
        <v>82787</v>
      </c>
      <c r="S603" s="66">
        <v>289755</v>
      </c>
      <c r="T603" s="106">
        <f>IF(A603="Upgrade",IF(OR(H603=4,H603=5),_xlfn.XLOOKUP(I603,'Renewal Rates'!$A$22:$A$27,'Renewal Rates'!$B$22:$B$27,'Renewal Rates'!$B$27,0),'Renewal Rates'!$F$7),IF(A603="Renewal",100%,0%))</f>
        <v>2.6599999999999999E-2</v>
      </c>
      <c r="U603" s="68">
        <f t="shared" si="9"/>
        <v>7707.4829999999993</v>
      </c>
    </row>
    <row r="604" spans="1:21" s="41" customFormat="1" ht="13.8" x14ac:dyDescent="0.3">
      <c r="A604" s="115" t="s">
        <v>21</v>
      </c>
      <c r="B604" s="116">
        <v>2000584120</v>
      </c>
      <c r="C604" s="116">
        <v>18.007000000000001</v>
      </c>
      <c r="D604" s="117">
        <v>47.6</v>
      </c>
      <c r="E604" s="117"/>
      <c r="F604" s="117">
        <v>375</v>
      </c>
      <c r="G604" s="117">
        <v>450</v>
      </c>
      <c r="H604" s="123"/>
      <c r="I604" s="117" t="s">
        <v>122</v>
      </c>
      <c r="J604" s="115">
        <v>377</v>
      </c>
      <c r="K604" s="115" t="s">
        <v>23</v>
      </c>
      <c r="L604" s="117" t="s">
        <v>24</v>
      </c>
      <c r="M604" s="66">
        <v>136621</v>
      </c>
      <c r="N604" s="66">
        <v>2871</v>
      </c>
      <c r="O604" s="66">
        <v>46451</v>
      </c>
      <c r="P604" s="66">
        <v>183072</v>
      </c>
      <c r="Q604" s="67">
        <v>0.4</v>
      </c>
      <c r="R604" s="66">
        <v>73229</v>
      </c>
      <c r="S604" s="66">
        <v>256301</v>
      </c>
      <c r="T604" s="106">
        <f>IF(A604="Upgrade",IF(OR(H604=4,H604=5),_xlfn.XLOOKUP(I604,'Renewal Rates'!$A$22:$A$27,'Renewal Rates'!$B$22:$B$27,'Renewal Rates'!$B$27,0),'Renewal Rates'!$F$7),IF(A604="Renewal",100%,0%))</f>
        <v>2.6599999999999999E-2</v>
      </c>
      <c r="U604" s="68">
        <f t="shared" si="9"/>
        <v>6817.6066000000001</v>
      </c>
    </row>
    <row r="605" spans="1:21" s="41" customFormat="1" ht="13.8" x14ac:dyDescent="0.3">
      <c r="A605" s="115" t="s">
        <v>21</v>
      </c>
      <c r="B605" s="116">
        <v>2000253021</v>
      </c>
      <c r="C605" s="116">
        <v>18.007000000000001</v>
      </c>
      <c r="D605" s="117">
        <v>16.100000000000001</v>
      </c>
      <c r="E605" s="117"/>
      <c r="F605" s="117">
        <v>225</v>
      </c>
      <c r="G605" s="117">
        <v>450</v>
      </c>
      <c r="H605" s="123"/>
      <c r="I605" s="117" t="s">
        <v>122</v>
      </c>
      <c r="J605" s="115">
        <v>377</v>
      </c>
      <c r="K605" s="115" t="s">
        <v>23</v>
      </c>
      <c r="L605" s="117" t="s">
        <v>24</v>
      </c>
      <c r="M605" s="66">
        <v>75332</v>
      </c>
      <c r="N605" s="66">
        <v>4668</v>
      </c>
      <c r="O605" s="66">
        <v>25613</v>
      </c>
      <c r="P605" s="66">
        <v>100945</v>
      </c>
      <c r="Q605" s="67">
        <v>0.4</v>
      </c>
      <c r="R605" s="66">
        <v>40378</v>
      </c>
      <c r="S605" s="66">
        <v>141324</v>
      </c>
      <c r="T605" s="106">
        <f>IF(A605="Upgrade",IF(OR(H605=4,H605=5),_xlfn.XLOOKUP(I605,'Renewal Rates'!$A$22:$A$27,'Renewal Rates'!$B$22:$B$27,'Renewal Rates'!$B$27,0),'Renewal Rates'!$F$7),IF(A605="Renewal",100%,0%))</f>
        <v>2.6599999999999999E-2</v>
      </c>
      <c r="U605" s="68">
        <f t="shared" si="9"/>
        <v>3759.2183999999997</v>
      </c>
    </row>
    <row r="606" spans="1:21" s="41" customFormat="1" ht="13.8" x14ac:dyDescent="0.3">
      <c r="A606" s="115" t="s">
        <v>21</v>
      </c>
      <c r="B606" s="116">
        <v>2000930015</v>
      </c>
      <c r="C606" s="116">
        <v>18.007999999999999</v>
      </c>
      <c r="D606" s="117">
        <v>21.3</v>
      </c>
      <c r="E606" s="117"/>
      <c r="F606" s="117">
        <v>225</v>
      </c>
      <c r="G606" s="117">
        <v>675</v>
      </c>
      <c r="H606" s="123"/>
      <c r="I606" s="117" t="s">
        <v>122</v>
      </c>
      <c r="J606" s="115">
        <v>377</v>
      </c>
      <c r="K606" s="115" t="s">
        <v>23</v>
      </c>
      <c r="L606" s="117" t="s">
        <v>24</v>
      </c>
      <c r="M606" s="66">
        <v>137786</v>
      </c>
      <c r="N606" s="66">
        <v>6465</v>
      </c>
      <c r="O606" s="66">
        <v>46847</v>
      </c>
      <c r="P606" s="66">
        <v>184633</v>
      </c>
      <c r="Q606" s="67">
        <v>0.4</v>
      </c>
      <c r="R606" s="66">
        <v>73853</v>
      </c>
      <c r="S606" s="66">
        <v>258487</v>
      </c>
      <c r="T606" s="106">
        <f>IF(A606="Upgrade",IF(OR(H606=4,H606=5),_xlfn.XLOOKUP(I606,'Renewal Rates'!$A$22:$A$27,'Renewal Rates'!$B$22:$B$27,'Renewal Rates'!$B$27,0),'Renewal Rates'!$F$7),IF(A606="Renewal",100%,0%))</f>
        <v>2.6599999999999999E-2</v>
      </c>
      <c r="U606" s="68">
        <f t="shared" si="9"/>
        <v>6875.7541999999994</v>
      </c>
    </row>
    <row r="607" spans="1:21" s="41" customFormat="1" ht="13.8" x14ac:dyDescent="0.3">
      <c r="A607" s="115" t="s">
        <v>21</v>
      </c>
      <c r="B607" s="116">
        <v>2000056987</v>
      </c>
      <c r="C607" s="116">
        <v>18.007999999999999</v>
      </c>
      <c r="D607" s="117">
        <v>44.9</v>
      </c>
      <c r="E607" s="117"/>
      <c r="F607" s="117">
        <v>375</v>
      </c>
      <c r="G607" s="117">
        <v>675</v>
      </c>
      <c r="H607" s="123"/>
      <c r="I607" s="117" t="s">
        <v>122</v>
      </c>
      <c r="J607" s="115">
        <v>377</v>
      </c>
      <c r="K607" s="115" t="s">
        <v>23</v>
      </c>
      <c r="L607" s="117" t="s">
        <v>24</v>
      </c>
      <c r="M607" s="66">
        <v>181471</v>
      </c>
      <c r="N607" s="66">
        <v>4043</v>
      </c>
      <c r="O607" s="66">
        <v>61700</v>
      </c>
      <c r="P607" s="66">
        <v>243171</v>
      </c>
      <c r="Q607" s="67">
        <v>0.4</v>
      </c>
      <c r="R607" s="66">
        <v>97268</v>
      </c>
      <c r="S607" s="66">
        <v>340439</v>
      </c>
      <c r="T607" s="106">
        <f>IF(A607="Upgrade",IF(OR(H607=4,H607=5),_xlfn.XLOOKUP(I607,'Renewal Rates'!$A$22:$A$27,'Renewal Rates'!$B$22:$B$27,'Renewal Rates'!$B$27,0),'Renewal Rates'!$F$7),IF(A607="Renewal",100%,0%))</f>
        <v>2.6599999999999999E-2</v>
      </c>
      <c r="U607" s="68">
        <f t="shared" si="9"/>
        <v>9055.6773999999987</v>
      </c>
    </row>
    <row r="608" spans="1:21" s="41" customFormat="1" ht="13.8" x14ac:dyDescent="0.3">
      <c r="A608" s="115" t="s">
        <v>21</v>
      </c>
      <c r="B608" s="116">
        <v>2000305026</v>
      </c>
      <c r="C608" s="116">
        <v>15.018000000000001</v>
      </c>
      <c r="D608" s="117">
        <v>8.3000000000000007</v>
      </c>
      <c r="E608" s="117"/>
      <c r="F608" s="117">
        <v>750</v>
      </c>
      <c r="G608" s="117">
        <v>525</v>
      </c>
      <c r="H608" s="123"/>
      <c r="I608" s="117" t="s">
        <v>122</v>
      </c>
      <c r="J608" s="115">
        <v>377</v>
      </c>
      <c r="K608" s="115" t="s">
        <v>23</v>
      </c>
      <c r="L608" s="117" t="s">
        <v>24</v>
      </c>
      <c r="M608" s="66">
        <v>67578</v>
      </c>
      <c r="N608" s="66">
        <v>8112</v>
      </c>
      <c r="O608" s="66">
        <v>22976</v>
      </c>
      <c r="P608" s="66">
        <v>90554</v>
      </c>
      <c r="Q608" s="67">
        <v>0.4</v>
      </c>
      <c r="R608" s="66">
        <v>36222</v>
      </c>
      <c r="S608" s="66">
        <v>126776</v>
      </c>
      <c r="T608" s="106">
        <f>IF(A608="Upgrade",IF(OR(H608=4,H608=5),_xlfn.XLOOKUP(I608,'Renewal Rates'!$A$22:$A$27,'Renewal Rates'!$B$22:$B$27,'Renewal Rates'!$B$27,0),'Renewal Rates'!$F$7),IF(A608="Renewal",100%,0%))</f>
        <v>2.6599999999999999E-2</v>
      </c>
      <c r="U608" s="68">
        <f t="shared" si="9"/>
        <v>3372.2415999999998</v>
      </c>
    </row>
    <row r="609" spans="1:21" s="41" customFormat="1" ht="13.8" x14ac:dyDescent="0.3">
      <c r="A609" s="115" t="s">
        <v>21</v>
      </c>
      <c r="B609" s="116">
        <v>2000411898</v>
      </c>
      <c r="C609" s="116">
        <v>15.018000000000001</v>
      </c>
      <c r="D609" s="117">
        <v>32</v>
      </c>
      <c r="E609" s="117"/>
      <c r="F609" s="117">
        <v>600</v>
      </c>
      <c r="G609" s="117">
        <v>525</v>
      </c>
      <c r="H609" s="123"/>
      <c r="I609" s="117" t="s">
        <v>122</v>
      </c>
      <c r="J609" s="115">
        <v>377</v>
      </c>
      <c r="K609" s="115" t="s">
        <v>23</v>
      </c>
      <c r="L609" s="117" t="s">
        <v>24</v>
      </c>
      <c r="M609" s="66">
        <v>110751</v>
      </c>
      <c r="N609" s="66">
        <v>3459</v>
      </c>
      <c r="O609" s="66">
        <v>37655</v>
      </c>
      <c r="P609" s="66">
        <v>148407</v>
      </c>
      <c r="Q609" s="67">
        <v>0.4</v>
      </c>
      <c r="R609" s="66">
        <v>59363</v>
      </c>
      <c r="S609" s="66">
        <v>207770</v>
      </c>
      <c r="T609" s="106">
        <f>IF(A609="Upgrade",IF(OR(H609=4,H609=5),_xlfn.XLOOKUP(I609,'Renewal Rates'!$A$22:$A$27,'Renewal Rates'!$B$22:$B$27,'Renewal Rates'!$B$27,0),'Renewal Rates'!$F$7),IF(A609="Renewal",100%,0%))</f>
        <v>2.6599999999999999E-2</v>
      </c>
      <c r="U609" s="68">
        <f t="shared" si="9"/>
        <v>5526.6819999999998</v>
      </c>
    </row>
    <row r="610" spans="1:21" s="41" customFormat="1" ht="13.8" x14ac:dyDescent="0.3">
      <c r="A610" s="115" t="s">
        <v>21</v>
      </c>
      <c r="B610" s="116">
        <v>2000419406</v>
      </c>
      <c r="C610" s="116">
        <v>18.010000000000002</v>
      </c>
      <c r="D610" s="117">
        <v>26.2</v>
      </c>
      <c r="E610" s="117"/>
      <c r="F610" s="117">
        <v>600</v>
      </c>
      <c r="G610" s="117">
        <v>600</v>
      </c>
      <c r="H610" s="123"/>
      <c r="I610" s="117" t="s">
        <v>122</v>
      </c>
      <c r="J610" s="115">
        <v>377</v>
      </c>
      <c r="K610" s="115" t="s">
        <v>23</v>
      </c>
      <c r="L610" s="117" t="s">
        <v>24</v>
      </c>
      <c r="M610" s="66">
        <v>109432</v>
      </c>
      <c r="N610" s="66">
        <v>4177</v>
      </c>
      <c r="O610" s="66">
        <v>37207</v>
      </c>
      <c r="P610" s="66">
        <v>146638</v>
      </c>
      <c r="Q610" s="67">
        <v>0.4</v>
      </c>
      <c r="R610" s="66">
        <v>58655</v>
      </c>
      <c r="S610" s="66">
        <v>205294</v>
      </c>
      <c r="T610" s="106">
        <f>IF(A610="Upgrade",IF(OR(H610=4,H610=5),_xlfn.XLOOKUP(I610,'Renewal Rates'!$A$22:$A$27,'Renewal Rates'!$B$22:$B$27,'Renewal Rates'!$B$27,0),'Renewal Rates'!$F$7),IF(A610="Renewal",100%,0%))</f>
        <v>2.6599999999999999E-2</v>
      </c>
      <c r="U610" s="68">
        <f t="shared" si="9"/>
        <v>5460.8203999999996</v>
      </c>
    </row>
    <row r="611" spans="1:21" s="41" customFormat="1" ht="13.8" x14ac:dyDescent="0.3">
      <c r="A611" s="115" t="s">
        <v>21</v>
      </c>
      <c r="B611" s="116">
        <v>2000779948</v>
      </c>
      <c r="C611" s="116" t="s">
        <v>40</v>
      </c>
      <c r="D611" s="117">
        <v>31.5</v>
      </c>
      <c r="E611" s="117"/>
      <c r="F611" s="117">
        <v>450</v>
      </c>
      <c r="G611" s="117">
        <v>975</v>
      </c>
      <c r="H611" s="123"/>
      <c r="I611" s="117" t="s">
        <v>122</v>
      </c>
      <c r="J611" s="115">
        <v>376</v>
      </c>
      <c r="K611" s="115" t="s">
        <v>23</v>
      </c>
      <c r="L611" s="117" t="s">
        <v>24</v>
      </c>
      <c r="M611" s="66">
        <v>255202</v>
      </c>
      <c r="N611" s="66">
        <v>8100</v>
      </c>
      <c r="O611" s="66">
        <v>86769</v>
      </c>
      <c r="P611" s="66">
        <v>341970</v>
      </c>
      <c r="Q611" s="67">
        <v>0.4</v>
      </c>
      <c r="R611" s="66">
        <v>136788</v>
      </c>
      <c r="S611" s="66">
        <v>478759</v>
      </c>
      <c r="T611" s="106">
        <f>IF(A611="Upgrade",IF(OR(H611=4,H611=5),_xlfn.XLOOKUP(I611,'Renewal Rates'!$A$22:$A$27,'Renewal Rates'!$B$22:$B$27,'Renewal Rates'!$B$27,0),'Renewal Rates'!$F$7),IF(A611="Renewal",100%,0%))</f>
        <v>2.6599999999999999E-2</v>
      </c>
      <c r="U611" s="68">
        <f t="shared" si="9"/>
        <v>12734.989399999999</v>
      </c>
    </row>
    <row r="612" spans="1:21" s="41" customFormat="1" ht="13.8" x14ac:dyDescent="0.3">
      <c r="A612" s="115" t="s">
        <v>21</v>
      </c>
      <c r="B612" s="116">
        <v>2000633756</v>
      </c>
      <c r="C612" s="116" t="s">
        <v>41</v>
      </c>
      <c r="D612" s="117">
        <v>21.7</v>
      </c>
      <c r="E612" s="117"/>
      <c r="F612" s="117">
        <v>225</v>
      </c>
      <c r="G612" s="117">
        <v>450</v>
      </c>
      <c r="H612" s="123"/>
      <c r="I612" s="117" t="s">
        <v>122</v>
      </c>
      <c r="J612" s="115">
        <v>376</v>
      </c>
      <c r="K612" s="115" t="s">
        <v>23</v>
      </c>
      <c r="L612" s="117" t="s">
        <v>24</v>
      </c>
      <c r="M612" s="66">
        <v>79308</v>
      </c>
      <c r="N612" s="66">
        <v>3652</v>
      </c>
      <c r="O612" s="66">
        <v>26965</v>
      </c>
      <c r="P612" s="66">
        <v>106272</v>
      </c>
      <c r="Q612" s="67">
        <v>0.4</v>
      </c>
      <c r="R612" s="66">
        <v>42509</v>
      </c>
      <c r="S612" s="66">
        <v>148781</v>
      </c>
      <c r="T612" s="106">
        <f>IF(A612="Upgrade",IF(OR(H612=4,H612=5),_xlfn.XLOOKUP(I612,'Renewal Rates'!$A$22:$A$27,'Renewal Rates'!$B$22:$B$27,'Renewal Rates'!$B$27,0),'Renewal Rates'!$F$7),IF(A612="Renewal",100%,0%))</f>
        <v>2.6599999999999999E-2</v>
      </c>
      <c r="U612" s="68">
        <f t="shared" si="9"/>
        <v>3957.5745999999999</v>
      </c>
    </row>
    <row r="613" spans="1:21" s="41" customFormat="1" ht="13.8" x14ac:dyDescent="0.3">
      <c r="A613" s="115" t="s">
        <v>25</v>
      </c>
      <c r="B613" s="116" t="s">
        <v>22</v>
      </c>
      <c r="C613" s="116" t="s">
        <v>42</v>
      </c>
      <c r="D613" s="117"/>
      <c r="E613" s="117">
        <v>70.900000000000006</v>
      </c>
      <c r="F613" s="117"/>
      <c r="G613" s="117">
        <v>450</v>
      </c>
      <c r="H613" s="123"/>
      <c r="I613" s="117" t="s">
        <v>122</v>
      </c>
      <c r="J613" s="115">
        <v>376</v>
      </c>
      <c r="K613" s="115" t="s">
        <v>23</v>
      </c>
      <c r="L613" s="117" t="s">
        <v>24</v>
      </c>
      <c r="M613" s="66">
        <v>191995</v>
      </c>
      <c r="N613" s="66">
        <v>2709</v>
      </c>
      <c r="O613" s="66">
        <v>65278</v>
      </c>
      <c r="P613" s="66">
        <v>257274</v>
      </c>
      <c r="Q613" s="67">
        <v>0.4</v>
      </c>
      <c r="R613" s="66">
        <v>102909</v>
      </c>
      <c r="S613" s="66">
        <v>360183</v>
      </c>
      <c r="T613" s="106">
        <f>IF(A613="Upgrade",IF(OR(H613=4,H613=5),_xlfn.XLOOKUP(I613,'Renewal Rates'!$A$22:$A$27,'Renewal Rates'!$B$22:$B$27,'Renewal Rates'!$B$27,0),'Renewal Rates'!$F$7),IF(A613="Renewal",100%,0%))</f>
        <v>0</v>
      </c>
      <c r="U613" s="68">
        <f t="shared" si="9"/>
        <v>0</v>
      </c>
    </row>
    <row r="614" spans="1:21" s="41" customFormat="1" ht="13.8" x14ac:dyDescent="0.3">
      <c r="A614" s="115" t="s">
        <v>21</v>
      </c>
      <c r="B614" s="116">
        <v>2000532991</v>
      </c>
      <c r="C614" s="116" t="s">
        <v>43</v>
      </c>
      <c r="D614" s="117">
        <v>57.2</v>
      </c>
      <c r="E614" s="117"/>
      <c r="F614" s="117">
        <v>375</v>
      </c>
      <c r="G614" s="117">
        <v>825</v>
      </c>
      <c r="H614" s="123">
        <v>4</v>
      </c>
      <c r="I614" s="117">
        <v>4</v>
      </c>
      <c r="J614" s="115">
        <v>376</v>
      </c>
      <c r="K614" s="115" t="s">
        <v>23</v>
      </c>
      <c r="L614" s="117" t="s">
        <v>24</v>
      </c>
      <c r="M614" s="66">
        <v>276868</v>
      </c>
      <c r="N614" s="66">
        <v>4842</v>
      </c>
      <c r="O614" s="66">
        <v>94135</v>
      </c>
      <c r="P614" s="66">
        <v>371004</v>
      </c>
      <c r="Q614" s="67">
        <v>0.4</v>
      </c>
      <c r="R614" s="66">
        <v>148401</v>
      </c>
      <c r="S614" s="66">
        <v>519405</v>
      </c>
      <c r="T614" s="106">
        <f>IF(A614="Upgrade",IF(OR(H614=4,H614=5),_xlfn.XLOOKUP(I614,'Renewal Rates'!$A$22:$A$27,'Renewal Rates'!$B$22:$B$27,'Renewal Rates'!$B$27,0),'Renewal Rates'!$F$7),IF(A614="Renewal",100%,0%))</f>
        <v>0.7</v>
      </c>
      <c r="U614" s="68">
        <f t="shared" ref="U614:U677" si="10">S614*T614</f>
        <v>363583.5</v>
      </c>
    </row>
    <row r="615" spans="1:21" s="41" customFormat="1" ht="13.8" x14ac:dyDescent="0.3">
      <c r="A615" s="115" t="s">
        <v>21</v>
      </c>
      <c r="B615" s="116">
        <v>2000705498</v>
      </c>
      <c r="C615" s="116" t="s">
        <v>44</v>
      </c>
      <c r="D615" s="117">
        <v>56.1</v>
      </c>
      <c r="E615" s="117"/>
      <c r="F615" s="117">
        <v>225</v>
      </c>
      <c r="G615" s="117">
        <v>750</v>
      </c>
      <c r="H615" s="123"/>
      <c r="I615" s="117" t="s">
        <v>122</v>
      </c>
      <c r="J615" s="115">
        <v>376</v>
      </c>
      <c r="K615" s="115" t="s">
        <v>23</v>
      </c>
      <c r="L615" s="117" t="s">
        <v>24</v>
      </c>
      <c r="M615" s="66">
        <v>247511</v>
      </c>
      <c r="N615" s="66">
        <v>4412</v>
      </c>
      <c r="O615" s="66">
        <v>84154</v>
      </c>
      <c r="P615" s="66">
        <v>331664</v>
      </c>
      <c r="Q615" s="67">
        <v>0.4</v>
      </c>
      <c r="R615" s="66">
        <v>132666</v>
      </c>
      <c r="S615" s="66">
        <v>464330</v>
      </c>
      <c r="T615" s="106">
        <f>IF(A615="Upgrade",IF(OR(H615=4,H615=5),_xlfn.XLOOKUP(I615,'Renewal Rates'!$A$22:$A$27,'Renewal Rates'!$B$22:$B$27,'Renewal Rates'!$B$27,0),'Renewal Rates'!$F$7),IF(A615="Renewal",100%,0%))</f>
        <v>2.6599999999999999E-2</v>
      </c>
      <c r="U615" s="68">
        <f t="shared" si="10"/>
        <v>12351.178</v>
      </c>
    </row>
    <row r="616" spans="1:21" s="41" customFormat="1" ht="13.8" x14ac:dyDescent="0.3">
      <c r="A616" s="115" t="s">
        <v>21</v>
      </c>
      <c r="B616" s="116">
        <v>2000158150</v>
      </c>
      <c r="C616" s="116" t="s">
        <v>44</v>
      </c>
      <c r="D616" s="117">
        <v>33.6</v>
      </c>
      <c r="E616" s="117"/>
      <c r="F616" s="117">
        <v>225</v>
      </c>
      <c r="G616" s="117">
        <v>750</v>
      </c>
      <c r="H616" s="123"/>
      <c r="I616" s="117" t="s">
        <v>122</v>
      </c>
      <c r="J616" s="115">
        <v>376</v>
      </c>
      <c r="K616" s="115" t="s">
        <v>23</v>
      </c>
      <c r="L616" s="117" t="s">
        <v>24</v>
      </c>
      <c r="M616" s="66">
        <v>153553</v>
      </c>
      <c r="N616" s="66">
        <v>4569</v>
      </c>
      <c r="O616" s="66">
        <v>52208</v>
      </c>
      <c r="P616" s="66">
        <v>205761</v>
      </c>
      <c r="Q616" s="67">
        <v>0.4</v>
      </c>
      <c r="R616" s="66">
        <v>82304</v>
      </c>
      <c r="S616" s="66">
        <v>288066</v>
      </c>
      <c r="T616" s="106">
        <f>IF(A616="Upgrade",IF(OR(H616=4,H616=5),_xlfn.XLOOKUP(I616,'Renewal Rates'!$A$22:$A$27,'Renewal Rates'!$B$22:$B$27,'Renewal Rates'!$B$27,0),'Renewal Rates'!$F$7),IF(A616="Renewal",100%,0%))</f>
        <v>2.6599999999999999E-2</v>
      </c>
      <c r="U616" s="68">
        <f t="shared" si="10"/>
        <v>7662.5555999999997</v>
      </c>
    </row>
    <row r="617" spans="1:21" s="41" customFormat="1" ht="13.8" x14ac:dyDescent="0.3">
      <c r="A617" s="115" t="s">
        <v>21</v>
      </c>
      <c r="B617" s="116">
        <v>2000628322</v>
      </c>
      <c r="C617" s="116" t="s">
        <v>45</v>
      </c>
      <c r="D617" s="117">
        <v>27.7</v>
      </c>
      <c r="E617" s="117"/>
      <c r="F617" s="117">
        <v>300</v>
      </c>
      <c r="G617" s="117">
        <v>600</v>
      </c>
      <c r="H617" s="123">
        <v>4</v>
      </c>
      <c r="I617" s="117">
        <v>3</v>
      </c>
      <c r="J617" s="115">
        <v>376</v>
      </c>
      <c r="K617" s="115" t="s">
        <v>23</v>
      </c>
      <c r="L617" s="117" t="s">
        <v>24</v>
      </c>
      <c r="M617" s="66">
        <v>110981</v>
      </c>
      <c r="N617" s="66">
        <v>4007</v>
      </c>
      <c r="O617" s="66">
        <v>37733</v>
      </c>
      <c r="P617" s="66">
        <v>148714</v>
      </c>
      <c r="Q617" s="67">
        <v>0.4</v>
      </c>
      <c r="R617" s="66">
        <v>59486</v>
      </c>
      <c r="S617" s="66">
        <v>208200</v>
      </c>
      <c r="T617" s="106">
        <f>IF(A617="Upgrade",IF(OR(H617=4,H617=5),_xlfn.XLOOKUP(I617,'Renewal Rates'!$A$22:$A$27,'Renewal Rates'!$B$22:$B$27,'Renewal Rates'!$B$27,0),'Renewal Rates'!$F$7),IF(A617="Renewal",100%,0%))</f>
        <v>0.21</v>
      </c>
      <c r="U617" s="68">
        <f t="shared" si="10"/>
        <v>43722</v>
      </c>
    </row>
    <row r="618" spans="1:21" s="41" customFormat="1" ht="13.8" x14ac:dyDescent="0.3">
      <c r="A618" s="115" t="s">
        <v>21</v>
      </c>
      <c r="B618" s="116">
        <v>2000773104</v>
      </c>
      <c r="C618" s="116" t="s">
        <v>45</v>
      </c>
      <c r="D618" s="117">
        <v>14.1</v>
      </c>
      <c r="E618" s="117"/>
      <c r="F618" s="117">
        <v>300</v>
      </c>
      <c r="G618" s="117">
        <v>600</v>
      </c>
      <c r="H618" s="123"/>
      <c r="I618" s="117" t="s">
        <v>122</v>
      </c>
      <c r="J618" s="115">
        <v>376</v>
      </c>
      <c r="K618" s="115" t="s">
        <v>23</v>
      </c>
      <c r="L618" s="117" t="s">
        <v>24</v>
      </c>
      <c r="M618" s="66">
        <v>77441</v>
      </c>
      <c r="N618" s="66">
        <v>5507</v>
      </c>
      <c r="O618" s="66">
        <v>26330</v>
      </c>
      <c r="P618" s="66">
        <v>103771</v>
      </c>
      <c r="Q618" s="67">
        <v>0.4</v>
      </c>
      <c r="R618" s="66">
        <v>41508</v>
      </c>
      <c r="S618" s="66">
        <v>145279</v>
      </c>
      <c r="T618" s="106">
        <f>IF(A618="Upgrade",IF(OR(H618=4,H618=5),_xlfn.XLOOKUP(I618,'Renewal Rates'!$A$22:$A$27,'Renewal Rates'!$B$22:$B$27,'Renewal Rates'!$B$27,0),'Renewal Rates'!$F$7),IF(A618="Renewal",100%,0%))</f>
        <v>2.6599999999999999E-2</v>
      </c>
      <c r="U618" s="68">
        <f t="shared" si="10"/>
        <v>3864.4213999999997</v>
      </c>
    </row>
    <row r="619" spans="1:21" s="41" customFormat="1" ht="13.8" x14ac:dyDescent="0.3">
      <c r="A619" s="115" t="s">
        <v>21</v>
      </c>
      <c r="B619" s="116">
        <v>2000015457</v>
      </c>
      <c r="C619" s="116" t="s">
        <v>45</v>
      </c>
      <c r="D619" s="117">
        <v>42.5</v>
      </c>
      <c r="E619" s="117"/>
      <c r="F619" s="117">
        <v>300</v>
      </c>
      <c r="G619" s="117">
        <v>600</v>
      </c>
      <c r="H619" s="123">
        <v>4</v>
      </c>
      <c r="I619" s="117">
        <v>3</v>
      </c>
      <c r="J619" s="115">
        <v>376</v>
      </c>
      <c r="K619" s="115" t="s">
        <v>23</v>
      </c>
      <c r="L619" s="117" t="s">
        <v>24</v>
      </c>
      <c r="M619" s="66">
        <v>162110</v>
      </c>
      <c r="N619" s="66">
        <v>3814</v>
      </c>
      <c r="O619" s="66">
        <v>55117</v>
      </c>
      <c r="P619" s="66">
        <v>217228</v>
      </c>
      <c r="Q619" s="67">
        <v>0.4</v>
      </c>
      <c r="R619" s="66">
        <v>86891</v>
      </c>
      <c r="S619" s="66">
        <v>304119</v>
      </c>
      <c r="T619" s="106">
        <f>IF(A619="Upgrade",IF(OR(H619=4,H619=5),_xlfn.XLOOKUP(I619,'Renewal Rates'!$A$22:$A$27,'Renewal Rates'!$B$22:$B$27,'Renewal Rates'!$B$27,0),'Renewal Rates'!$F$7),IF(A619="Renewal",100%,0%))</f>
        <v>0.21</v>
      </c>
      <c r="U619" s="68">
        <f t="shared" si="10"/>
        <v>63864.99</v>
      </c>
    </row>
    <row r="620" spans="1:21" s="41" customFormat="1" ht="13.8" x14ac:dyDescent="0.3">
      <c r="A620" s="115" t="s">
        <v>21</v>
      </c>
      <c r="B620" s="116">
        <v>2000772131</v>
      </c>
      <c r="C620" s="116" t="s">
        <v>46</v>
      </c>
      <c r="D620" s="117">
        <v>17</v>
      </c>
      <c r="E620" s="117"/>
      <c r="F620" s="117">
        <v>375</v>
      </c>
      <c r="G620" s="117">
        <v>525</v>
      </c>
      <c r="H620" s="123"/>
      <c r="I620" s="117" t="s">
        <v>122</v>
      </c>
      <c r="J620" s="115">
        <v>376</v>
      </c>
      <c r="K620" s="115" t="s">
        <v>23</v>
      </c>
      <c r="L620" s="117" t="s">
        <v>24</v>
      </c>
      <c r="M620" s="66">
        <v>94575</v>
      </c>
      <c r="N620" s="66">
        <v>5566</v>
      </c>
      <c r="O620" s="66">
        <v>32156</v>
      </c>
      <c r="P620" s="66">
        <v>126731</v>
      </c>
      <c r="Q620" s="67">
        <v>0.4</v>
      </c>
      <c r="R620" s="66">
        <v>50692</v>
      </c>
      <c r="S620" s="66">
        <v>177423</v>
      </c>
      <c r="T620" s="106">
        <f>IF(A620="Upgrade",IF(OR(H620=4,H620=5),_xlfn.XLOOKUP(I620,'Renewal Rates'!$A$22:$A$27,'Renewal Rates'!$B$22:$B$27,'Renewal Rates'!$B$27,0),'Renewal Rates'!$F$7),IF(A620="Renewal",100%,0%))</f>
        <v>2.6599999999999999E-2</v>
      </c>
      <c r="U620" s="68">
        <f t="shared" si="10"/>
        <v>4719.4517999999998</v>
      </c>
    </row>
    <row r="621" spans="1:21" s="41" customFormat="1" ht="13.8" x14ac:dyDescent="0.3">
      <c r="A621" s="115" t="s">
        <v>21</v>
      </c>
      <c r="B621" s="116">
        <v>2000324833</v>
      </c>
      <c r="C621" s="116" t="s">
        <v>46</v>
      </c>
      <c r="D621" s="117">
        <v>23.3</v>
      </c>
      <c r="E621" s="117"/>
      <c r="F621" s="117">
        <v>225</v>
      </c>
      <c r="G621" s="117">
        <v>525</v>
      </c>
      <c r="H621" s="123"/>
      <c r="I621" s="117" t="s">
        <v>122</v>
      </c>
      <c r="J621" s="115">
        <v>376</v>
      </c>
      <c r="K621" s="115" t="s">
        <v>23</v>
      </c>
      <c r="L621" s="117" t="s">
        <v>24</v>
      </c>
      <c r="M621" s="66">
        <v>100084</v>
      </c>
      <c r="N621" s="66">
        <v>4295</v>
      </c>
      <c r="O621" s="66">
        <v>34029</v>
      </c>
      <c r="P621" s="66">
        <v>134113</v>
      </c>
      <c r="Q621" s="67">
        <v>0.4</v>
      </c>
      <c r="R621" s="66">
        <v>53645</v>
      </c>
      <c r="S621" s="66">
        <v>187758</v>
      </c>
      <c r="T621" s="106">
        <f>IF(A621="Upgrade",IF(OR(H621=4,H621=5),_xlfn.XLOOKUP(I621,'Renewal Rates'!$A$22:$A$27,'Renewal Rates'!$B$22:$B$27,'Renewal Rates'!$B$27,0),'Renewal Rates'!$F$7),IF(A621="Renewal",100%,0%))</f>
        <v>2.6599999999999999E-2</v>
      </c>
      <c r="U621" s="68">
        <f t="shared" si="10"/>
        <v>4994.3627999999999</v>
      </c>
    </row>
    <row r="622" spans="1:21" s="41" customFormat="1" thickBot="1" x14ac:dyDescent="0.35">
      <c r="A622" s="126" t="s">
        <v>25</v>
      </c>
      <c r="B622" s="127" t="s">
        <v>22</v>
      </c>
      <c r="C622" s="127" t="s">
        <v>47</v>
      </c>
      <c r="D622" s="128"/>
      <c r="E622" s="128">
        <v>83.2</v>
      </c>
      <c r="F622" s="128"/>
      <c r="G622" s="128">
        <v>525</v>
      </c>
      <c r="H622" s="129"/>
      <c r="I622" s="117" t="s">
        <v>122</v>
      </c>
      <c r="J622" s="126">
        <v>376</v>
      </c>
      <c r="K622" s="126" t="s">
        <v>23</v>
      </c>
      <c r="L622" s="128" t="s">
        <v>24</v>
      </c>
      <c r="M622" s="75">
        <v>268470</v>
      </c>
      <c r="N622" s="75">
        <v>3225</v>
      </c>
      <c r="O622" s="75">
        <v>91280</v>
      </c>
      <c r="P622" s="75">
        <v>359750</v>
      </c>
      <c r="Q622" s="76">
        <v>0.4</v>
      </c>
      <c r="R622" s="75">
        <v>143900</v>
      </c>
      <c r="S622" s="75">
        <v>503650</v>
      </c>
      <c r="T622" s="106">
        <f>IF(A622="Upgrade",IF(OR(H622=4,H622=5),_xlfn.XLOOKUP(I622,'Renewal Rates'!$A$22:$A$27,'Renewal Rates'!$B$22:$B$27,'Renewal Rates'!$B$27,0),'Renewal Rates'!$F$7),IF(A622="Renewal",100%,0%))</f>
        <v>0</v>
      </c>
      <c r="U622" s="68">
        <f t="shared" si="10"/>
        <v>0</v>
      </c>
    </row>
    <row r="623" spans="1:21" s="41" customFormat="1" ht="13.8" x14ac:dyDescent="0.3">
      <c r="A623" s="115" t="s">
        <v>21</v>
      </c>
      <c r="B623" s="130">
        <v>2000058627</v>
      </c>
      <c r="C623" s="116">
        <v>1.0129999999999999</v>
      </c>
      <c r="D623" s="117">
        <v>86</v>
      </c>
      <c r="E623" s="117"/>
      <c r="F623" s="117">
        <v>600</v>
      </c>
      <c r="G623" s="117">
        <v>1050</v>
      </c>
      <c r="H623" s="131">
        <v>4</v>
      </c>
      <c r="I623" s="117">
        <v>3</v>
      </c>
      <c r="J623" s="115">
        <v>385</v>
      </c>
      <c r="K623" s="115" t="s">
        <v>23</v>
      </c>
      <c r="L623" s="117" t="s">
        <v>24</v>
      </c>
      <c r="M623" s="66">
        <v>589963</v>
      </c>
      <c r="N623" s="66">
        <v>6860</v>
      </c>
      <c r="O623" s="66">
        <v>200587</v>
      </c>
      <c r="P623" s="66">
        <v>790550</v>
      </c>
      <c r="Q623" s="67">
        <v>0.4</v>
      </c>
      <c r="R623" s="66">
        <v>316220</v>
      </c>
      <c r="S623" s="66">
        <v>1106771</v>
      </c>
      <c r="T623" s="106">
        <f>IF(A623="Upgrade",IF(OR(H623=4,H623=5),_xlfn.XLOOKUP(I623,'Renewal Rates'!$A$22:$A$27,'Renewal Rates'!$B$22:$B$27,'Renewal Rates'!$B$27,0),'Renewal Rates'!$F$7),IF(A623="Renewal",100%,0%))</f>
        <v>0.21</v>
      </c>
      <c r="U623" s="68">
        <f t="shared" si="10"/>
        <v>232421.91</v>
      </c>
    </row>
    <row r="624" spans="1:21" s="41" customFormat="1" ht="13.8" x14ac:dyDescent="0.3">
      <c r="A624" s="115" t="s">
        <v>21</v>
      </c>
      <c r="B624" s="130">
        <v>2000844010</v>
      </c>
      <c r="C624" s="116">
        <v>1.0129999999999999</v>
      </c>
      <c r="D624" s="117">
        <v>115.8</v>
      </c>
      <c r="E624" s="117"/>
      <c r="F624" s="117">
        <v>600</v>
      </c>
      <c r="G624" s="117">
        <v>1050</v>
      </c>
      <c r="H624" s="131"/>
      <c r="I624" s="117" t="s">
        <v>122</v>
      </c>
      <c r="J624" s="115">
        <v>385</v>
      </c>
      <c r="K624" s="115" t="s">
        <v>23</v>
      </c>
      <c r="L624" s="117" t="s">
        <v>24</v>
      </c>
      <c r="M624" s="66">
        <v>762838</v>
      </c>
      <c r="N624" s="66">
        <v>6589</v>
      </c>
      <c r="O624" s="66">
        <v>259365</v>
      </c>
      <c r="P624" s="66">
        <v>1022203</v>
      </c>
      <c r="Q624" s="67">
        <v>0.4</v>
      </c>
      <c r="R624" s="66">
        <v>408881</v>
      </c>
      <c r="S624" s="66">
        <v>1431084</v>
      </c>
      <c r="T624" s="106">
        <f>IF(A624="Upgrade",IF(OR(H624=4,H624=5),_xlfn.XLOOKUP(I624,'Renewal Rates'!$A$22:$A$27,'Renewal Rates'!$B$22:$B$27,'Renewal Rates'!$B$27,0),'Renewal Rates'!$F$7),IF(A624="Renewal",100%,0%))</f>
        <v>2.6599999999999999E-2</v>
      </c>
      <c r="U624" s="68">
        <f t="shared" si="10"/>
        <v>38066.8344</v>
      </c>
    </row>
    <row r="625" spans="1:21" s="41" customFormat="1" ht="13.8" x14ac:dyDescent="0.3">
      <c r="A625" s="115" t="s">
        <v>21</v>
      </c>
      <c r="B625" s="130">
        <v>2000498982</v>
      </c>
      <c r="C625" s="116">
        <v>1.0129999999999999</v>
      </c>
      <c r="D625" s="115">
        <v>22.7</v>
      </c>
      <c r="E625" s="117"/>
      <c r="F625" s="115">
        <v>600</v>
      </c>
      <c r="G625" s="117">
        <v>1050</v>
      </c>
      <c r="H625" s="131"/>
      <c r="I625" s="117" t="s">
        <v>122</v>
      </c>
      <c r="J625" s="115">
        <v>385</v>
      </c>
      <c r="K625" s="115" t="s">
        <v>23</v>
      </c>
      <c r="L625" s="117" t="s">
        <v>24</v>
      </c>
      <c r="M625" s="66">
        <v>180556</v>
      </c>
      <c r="N625" s="66">
        <v>7945</v>
      </c>
      <c r="O625" s="66">
        <v>61389</v>
      </c>
      <c r="P625" s="66">
        <v>241945</v>
      </c>
      <c r="Q625" s="67">
        <v>0.4</v>
      </c>
      <c r="R625" s="66">
        <v>96778</v>
      </c>
      <c r="S625" s="66">
        <v>338723</v>
      </c>
      <c r="T625" s="106">
        <f>IF(A625="Upgrade",IF(OR(H625=4,H625=5),_xlfn.XLOOKUP(I625,'Renewal Rates'!$A$22:$A$27,'Renewal Rates'!$B$22:$B$27,'Renewal Rates'!$B$27,0),'Renewal Rates'!$F$7),IF(A625="Renewal",100%,0%))</f>
        <v>2.6599999999999999E-2</v>
      </c>
      <c r="U625" s="68">
        <f t="shared" si="10"/>
        <v>9010.0317999999988</v>
      </c>
    </row>
    <row r="626" spans="1:21" s="41" customFormat="1" ht="13.8" x14ac:dyDescent="0.3">
      <c r="A626" s="115" t="s">
        <v>21</v>
      </c>
      <c r="B626" s="132">
        <v>2000604018</v>
      </c>
      <c r="C626" s="130">
        <v>1.0129999999999999</v>
      </c>
      <c r="D626" s="123">
        <v>97.6</v>
      </c>
      <c r="E626" s="115"/>
      <c r="F626" s="123">
        <v>600</v>
      </c>
      <c r="G626" s="115">
        <v>1050</v>
      </c>
      <c r="H626" s="131"/>
      <c r="I626" s="117" t="s">
        <v>122</v>
      </c>
      <c r="J626" s="115">
        <v>385</v>
      </c>
      <c r="K626" s="115" t="s">
        <v>23</v>
      </c>
      <c r="L626" s="117" t="s">
        <v>24</v>
      </c>
      <c r="M626" s="66">
        <v>619722</v>
      </c>
      <c r="N626" s="66">
        <v>6352</v>
      </c>
      <c r="O626" s="66">
        <v>210706</v>
      </c>
      <c r="P626" s="66">
        <v>830428</v>
      </c>
      <c r="Q626" s="67">
        <v>0.4</v>
      </c>
      <c r="R626" s="66">
        <v>332171</v>
      </c>
      <c r="S626" s="66">
        <v>1162599</v>
      </c>
      <c r="T626" s="106">
        <f>IF(A626="Upgrade",IF(OR(H626=4,H626=5),_xlfn.XLOOKUP(I626,'Renewal Rates'!$A$22:$A$27,'Renewal Rates'!$B$22:$B$27,'Renewal Rates'!$B$27,0),'Renewal Rates'!$F$7),IF(A626="Renewal",100%,0%))</f>
        <v>2.6599999999999999E-2</v>
      </c>
      <c r="U626" s="68">
        <f t="shared" si="10"/>
        <v>30925.133399999999</v>
      </c>
    </row>
    <row r="627" spans="1:21" s="41" customFormat="1" ht="13.8" x14ac:dyDescent="0.3">
      <c r="A627" s="115" t="s">
        <v>21</v>
      </c>
      <c r="B627" s="130">
        <v>2000827921</v>
      </c>
      <c r="C627" s="116">
        <v>1.0189999999999999</v>
      </c>
      <c r="D627" s="115">
        <v>108.9</v>
      </c>
      <c r="E627" s="117"/>
      <c r="F627" s="115">
        <v>450</v>
      </c>
      <c r="G627" s="117">
        <v>900</v>
      </c>
      <c r="H627" s="131"/>
      <c r="I627" s="117" t="s">
        <v>122</v>
      </c>
      <c r="J627" s="115">
        <v>385</v>
      </c>
      <c r="K627" s="115" t="s">
        <v>23</v>
      </c>
      <c r="L627" s="117" t="s">
        <v>24</v>
      </c>
      <c r="M627" s="66">
        <v>577914</v>
      </c>
      <c r="N627" s="66">
        <v>5305</v>
      </c>
      <c r="O627" s="66">
        <v>196491</v>
      </c>
      <c r="P627" s="66">
        <v>774405</v>
      </c>
      <c r="Q627" s="67">
        <v>0.4</v>
      </c>
      <c r="R627" s="66">
        <v>309762</v>
      </c>
      <c r="S627" s="66">
        <v>1084166</v>
      </c>
      <c r="T627" s="106">
        <f>IF(A627="Upgrade",IF(OR(H627=4,H627=5),_xlfn.XLOOKUP(I627,'Renewal Rates'!$A$22:$A$27,'Renewal Rates'!$B$22:$B$27,'Renewal Rates'!$B$27,0),'Renewal Rates'!$F$7),IF(A627="Renewal",100%,0%))</f>
        <v>2.6599999999999999E-2</v>
      </c>
      <c r="U627" s="68">
        <f t="shared" si="10"/>
        <v>28838.815599999998</v>
      </c>
    </row>
    <row r="628" spans="1:21" s="41" customFormat="1" ht="13.8" x14ac:dyDescent="0.3">
      <c r="A628" s="115" t="s">
        <v>21</v>
      </c>
      <c r="B628" s="130">
        <v>2000325732</v>
      </c>
      <c r="C628" s="116">
        <v>1.0149999999999999</v>
      </c>
      <c r="D628" s="117">
        <v>64.8</v>
      </c>
      <c r="E628" s="117"/>
      <c r="F628" s="117">
        <v>300</v>
      </c>
      <c r="G628" s="117">
        <v>675</v>
      </c>
      <c r="H628" s="131"/>
      <c r="I628" s="117" t="s">
        <v>122</v>
      </c>
      <c r="J628" s="115">
        <v>385</v>
      </c>
      <c r="K628" s="115" t="s">
        <v>23</v>
      </c>
      <c r="L628" s="117" t="s">
        <v>24</v>
      </c>
      <c r="M628" s="66">
        <v>269152</v>
      </c>
      <c r="N628" s="66">
        <v>4152</v>
      </c>
      <c r="O628" s="66">
        <v>91512</v>
      </c>
      <c r="P628" s="66">
        <v>360664</v>
      </c>
      <c r="Q628" s="67">
        <v>0.4</v>
      </c>
      <c r="R628" s="66">
        <v>144266</v>
      </c>
      <c r="S628" s="66">
        <v>504930</v>
      </c>
      <c r="T628" s="106">
        <f>IF(A628="Upgrade",IF(OR(H628=4,H628=5),_xlfn.XLOOKUP(I628,'Renewal Rates'!$A$22:$A$27,'Renewal Rates'!$B$22:$B$27,'Renewal Rates'!$B$27,0),'Renewal Rates'!$F$7),IF(A628="Renewal",100%,0%))</f>
        <v>2.6599999999999999E-2</v>
      </c>
      <c r="U628" s="68">
        <f t="shared" si="10"/>
        <v>13431.137999999999</v>
      </c>
    </row>
    <row r="629" spans="1:21" s="41" customFormat="1" ht="13.8" x14ac:dyDescent="0.3">
      <c r="A629" s="115" t="s">
        <v>21</v>
      </c>
      <c r="B629" s="130">
        <v>2000238785</v>
      </c>
      <c r="C629" s="116">
        <v>1.0149999999999999</v>
      </c>
      <c r="D629" s="117">
        <v>66.5</v>
      </c>
      <c r="E629" s="117"/>
      <c r="F629" s="117">
        <v>225</v>
      </c>
      <c r="G629" s="117">
        <v>675</v>
      </c>
      <c r="H629" s="131"/>
      <c r="I629" s="117" t="s">
        <v>122</v>
      </c>
      <c r="J629" s="115">
        <v>385</v>
      </c>
      <c r="K629" s="115" t="s">
        <v>23</v>
      </c>
      <c r="L629" s="117" t="s">
        <v>24</v>
      </c>
      <c r="M629" s="66">
        <v>271197</v>
      </c>
      <c r="N629" s="66">
        <v>4076</v>
      </c>
      <c r="O629" s="66">
        <v>92207</v>
      </c>
      <c r="P629" s="66">
        <v>363404</v>
      </c>
      <c r="Q629" s="67">
        <v>0.4</v>
      </c>
      <c r="R629" s="66">
        <v>145362</v>
      </c>
      <c r="S629" s="66">
        <v>508766</v>
      </c>
      <c r="T629" s="106">
        <f>IF(A629="Upgrade",IF(OR(H629=4,H629=5),_xlfn.XLOOKUP(I629,'Renewal Rates'!$A$22:$A$27,'Renewal Rates'!$B$22:$B$27,'Renewal Rates'!$B$27,0),'Renewal Rates'!$F$7),IF(A629="Renewal",100%,0%))</f>
        <v>2.6599999999999999E-2</v>
      </c>
      <c r="U629" s="68">
        <f t="shared" si="10"/>
        <v>13533.175599999999</v>
      </c>
    </row>
    <row r="630" spans="1:21" s="41" customFormat="1" ht="13.8" x14ac:dyDescent="0.3">
      <c r="A630" s="115" t="s">
        <v>21</v>
      </c>
      <c r="B630" s="116">
        <v>2000230928</v>
      </c>
      <c r="C630" s="116">
        <v>1.014</v>
      </c>
      <c r="D630" s="117">
        <v>66.3</v>
      </c>
      <c r="E630" s="117"/>
      <c r="F630" s="117">
        <v>375</v>
      </c>
      <c r="G630" s="117">
        <v>675</v>
      </c>
      <c r="H630" s="131"/>
      <c r="I630" s="117" t="s">
        <v>122</v>
      </c>
      <c r="J630" s="115">
        <v>385</v>
      </c>
      <c r="K630" s="115" t="s">
        <v>23</v>
      </c>
      <c r="L630" s="117" t="s">
        <v>24</v>
      </c>
      <c r="M630" s="66">
        <v>270911</v>
      </c>
      <c r="N630" s="66">
        <v>4087</v>
      </c>
      <c r="O630" s="66">
        <v>92110</v>
      </c>
      <c r="P630" s="66">
        <v>363021</v>
      </c>
      <c r="Q630" s="67">
        <v>0.4</v>
      </c>
      <c r="R630" s="66">
        <v>145208</v>
      </c>
      <c r="S630" s="66">
        <v>508229</v>
      </c>
      <c r="T630" s="106">
        <f>IF(A630="Upgrade",IF(OR(H630=4,H630=5),_xlfn.XLOOKUP(I630,'Renewal Rates'!$A$22:$A$27,'Renewal Rates'!$B$22:$B$27,'Renewal Rates'!$B$27,0),'Renewal Rates'!$F$7),IF(A630="Renewal",100%,0%))</f>
        <v>2.6599999999999999E-2</v>
      </c>
      <c r="U630" s="68">
        <f t="shared" si="10"/>
        <v>13518.891399999999</v>
      </c>
    </row>
    <row r="631" spans="1:21" s="41" customFormat="1" ht="13.8" x14ac:dyDescent="0.3">
      <c r="A631" s="115" t="s">
        <v>21</v>
      </c>
      <c r="B631" s="116">
        <v>2000362737</v>
      </c>
      <c r="C631" s="116">
        <v>1.018</v>
      </c>
      <c r="D631" s="117">
        <v>17.399999999999999</v>
      </c>
      <c r="E631" s="117"/>
      <c r="F631" s="117">
        <v>300</v>
      </c>
      <c r="G631" s="117">
        <v>600</v>
      </c>
      <c r="H631" s="123"/>
      <c r="I631" s="117" t="s">
        <v>122</v>
      </c>
      <c r="J631" s="115">
        <v>385</v>
      </c>
      <c r="K631" s="115" t="s">
        <v>23</v>
      </c>
      <c r="L631" s="117" t="s">
        <v>24</v>
      </c>
      <c r="M631" s="66">
        <v>80941</v>
      </c>
      <c r="N631" s="66">
        <v>4639</v>
      </c>
      <c r="O631" s="66">
        <v>27520</v>
      </c>
      <c r="P631" s="66">
        <v>108460</v>
      </c>
      <c r="Q631" s="67">
        <v>0.4</v>
      </c>
      <c r="R631" s="66">
        <v>43384</v>
      </c>
      <c r="S631" s="66">
        <v>151844</v>
      </c>
      <c r="T631" s="106">
        <f>IF(A631="Upgrade",IF(OR(H631=4,H631=5),_xlfn.XLOOKUP(I631,'Renewal Rates'!$A$22:$A$27,'Renewal Rates'!$B$22:$B$27,'Renewal Rates'!$B$27,0),'Renewal Rates'!$F$7),IF(A631="Renewal",100%,0%))</f>
        <v>2.6599999999999999E-2</v>
      </c>
      <c r="U631" s="68">
        <f t="shared" si="10"/>
        <v>4039.0503999999996</v>
      </c>
    </row>
    <row r="632" spans="1:21" s="41" customFormat="1" ht="13.8" x14ac:dyDescent="0.3">
      <c r="A632" s="115" t="s">
        <v>21</v>
      </c>
      <c r="B632" s="116">
        <v>3000056030</v>
      </c>
      <c r="C632" s="116">
        <v>1.018</v>
      </c>
      <c r="D632" s="117">
        <v>18.8</v>
      </c>
      <c r="E632" s="117"/>
      <c r="F632" s="117">
        <v>300</v>
      </c>
      <c r="G632" s="117">
        <v>600</v>
      </c>
      <c r="H632" s="123"/>
      <c r="I632" s="117" t="s">
        <v>122</v>
      </c>
      <c r="J632" s="115">
        <v>385</v>
      </c>
      <c r="K632" s="115" t="s">
        <v>23</v>
      </c>
      <c r="L632" s="117" t="s">
        <v>24</v>
      </c>
      <c r="M632" s="66">
        <v>82312</v>
      </c>
      <c r="N632" s="66">
        <v>4385</v>
      </c>
      <c r="O632" s="66">
        <v>27986</v>
      </c>
      <c r="P632" s="66">
        <v>110298</v>
      </c>
      <c r="Q632" s="67">
        <v>0.4</v>
      </c>
      <c r="R632" s="66">
        <v>44119</v>
      </c>
      <c r="S632" s="66">
        <v>154417</v>
      </c>
      <c r="T632" s="106">
        <f>IF(A632="Upgrade",IF(OR(H632=4,H632=5),_xlfn.XLOOKUP(I632,'Renewal Rates'!$A$22:$A$27,'Renewal Rates'!$B$22:$B$27,'Renewal Rates'!$B$27,0),'Renewal Rates'!$F$7),IF(A632="Renewal",100%,0%))</f>
        <v>2.6599999999999999E-2</v>
      </c>
      <c r="U632" s="68">
        <f t="shared" si="10"/>
        <v>4107.4921999999997</v>
      </c>
    </row>
    <row r="633" spans="1:21" s="41" customFormat="1" ht="13.8" x14ac:dyDescent="0.3">
      <c r="A633" s="115" t="s">
        <v>21</v>
      </c>
      <c r="B633" s="116">
        <v>3000056031</v>
      </c>
      <c r="C633" s="116">
        <v>1.018</v>
      </c>
      <c r="D633" s="117">
        <v>28.4</v>
      </c>
      <c r="E633" s="117"/>
      <c r="F633" s="117">
        <v>300</v>
      </c>
      <c r="G633" s="117">
        <v>600</v>
      </c>
      <c r="H633" s="123"/>
      <c r="I633" s="117" t="s">
        <v>122</v>
      </c>
      <c r="J633" s="115">
        <v>385</v>
      </c>
      <c r="K633" s="115" t="s">
        <v>23</v>
      </c>
      <c r="L633" s="117" t="s">
        <v>24</v>
      </c>
      <c r="M633" s="66">
        <v>111724</v>
      </c>
      <c r="N633" s="66">
        <v>3932</v>
      </c>
      <c r="O633" s="66">
        <v>37986</v>
      </c>
      <c r="P633" s="66">
        <v>149710</v>
      </c>
      <c r="Q633" s="67">
        <v>0.4</v>
      </c>
      <c r="R633" s="66">
        <v>59884</v>
      </c>
      <c r="S633" s="66">
        <v>209594</v>
      </c>
      <c r="T633" s="106">
        <f>IF(A633="Upgrade",IF(OR(H633=4,H633=5),_xlfn.XLOOKUP(I633,'Renewal Rates'!$A$22:$A$27,'Renewal Rates'!$B$22:$B$27,'Renewal Rates'!$B$27,0),'Renewal Rates'!$F$7),IF(A633="Renewal",100%,0%))</f>
        <v>2.6599999999999999E-2</v>
      </c>
      <c r="U633" s="68">
        <f t="shared" si="10"/>
        <v>5575.2003999999997</v>
      </c>
    </row>
    <row r="634" spans="1:21" s="41" customFormat="1" ht="13.8" x14ac:dyDescent="0.3">
      <c r="A634" s="115" t="s">
        <v>25</v>
      </c>
      <c r="B634" s="116" t="s">
        <v>22</v>
      </c>
      <c r="C634" s="116">
        <v>1.0009999999999999</v>
      </c>
      <c r="D634" s="117"/>
      <c r="E634" s="117">
        <v>78.099999999999994</v>
      </c>
      <c r="F634" s="117"/>
      <c r="G634" s="117">
        <v>600</v>
      </c>
      <c r="H634" s="123"/>
      <c r="I634" s="117" t="s">
        <v>122</v>
      </c>
      <c r="J634" s="115">
        <v>385</v>
      </c>
      <c r="K634" s="115" t="s">
        <v>23</v>
      </c>
      <c r="L634" s="117" t="s">
        <v>24</v>
      </c>
      <c r="M634" s="66">
        <v>259265</v>
      </c>
      <c r="N634" s="66">
        <v>3320</v>
      </c>
      <c r="O634" s="66">
        <v>88150</v>
      </c>
      <c r="P634" s="66">
        <v>347415</v>
      </c>
      <c r="Q634" s="67">
        <v>0.4</v>
      </c>
      <c r="R634" s="66">
        <v>138966</v>
      </c>
      <c r="S634" s="66">
        <v>486381</v>
      </c>
      <c r="T634" s="106">
        <f>IF(A634="Upgrade",IF(OR(H634=4,H634=5),_xlfn.XLOOKUP(I634,'Renewal Rates'!$A$22:$A$27,'Renewal Rates'!$B$22:$B$27,'Renewal Rates'!$B$27,0),'Renewal Rates'!$F$7),IF(A634="Renewal",100%,0%))</f>
        <v>0</v>
      </c>
      <c r="U634" s="68">
        <f t="shared" si="10"/>
        <v>0</v>
      </c>
    </row>
    <row r="635" spans="1:21" s="41" customFormat="1" ht="13.8" x14ac:dyDescent="0.3">
      <c r="A635" s="115" t="s">
        <v>25</v>
      </c>
      <c r="B635" s="116" t="s">
        <v>22</v>
      </c>
      <c r="C635" s="116">
        <v>1.0029999999999999</v>
      </c>
      <c r="D635" s="117"/>
      <c r="E635" s="117">
        <v>90.8</v>
      </c>
      <c r="F635" s="117"/>
      <c r="G635" s="117">
        <v>525</v>
      </c>
      <c r="H635" s="123"/>
      <c r="I635" s="117" t="s">
        <v>122</v>
      </c>
      <c r="J635" s="115">
        <v>385</v>
      </c>
      <c r="K635" s="115" t="s">
        <v>23</v>
      </c>
      <c r="L635" s="117" t="s">
        <v>24</v>
      </c>
      <c r="M635" s="66">
        <v>278158</v>
      </c>
      <c r="N635" s="66">
        <v>3062</v>
      </c>
      <c r="O635" s="66">
        <v>94574</v>
      </c>
      <c r="P635" s="66">
        <v>372732</v>
      </c>
      <c r="Q635" s="67">
        <v>0.4</v>
      </c>
      <c r="R635" s="66">
        <v>149093</v>
      </c>
      <c r="S635" s="66">
        <v>521824</v>
      </c>
      <c r="T635" s="106">
        <f>IF(A635="Upgrade",IF(OR(H635=4,H635=5),_xlfn.XLOOKUP(I635,'Renewal Rates'!$A$22:$A$27,'Renewal Rates'!$B$22:$B$27,'Renewal Rates'!$B$27,0),'Renewal Rates'!$F$7),IF(A635="Renewal",100%,0%))</f>
        <v>0</v>
      </c>
      <c r="U635" s="68">
        <f t="shared" si="10"/>
        <v>0</v>
      </c>
    </row>
    <row r="636" spans="1:21" s="41" customFormat="1" ht="13.8" x14ac:dyDescent="0.3">
      <c r="A636" s="115" t="s">
        <v>25</v>
      </c>
      <c r="B636" s="116" t="s">
        <v>22</v>
      </c>
      <c r="C636" s="116">
        <v>1.002</v>
      </c>
      <c r="D636" s="117"/>
      <c r="E636" s="117">
        <v>65.2</v>
      </c>
      <c r="F636" s="117"/>
      <c r="G636" s="117">
        <v>375</v>
      </c>
      <c r="H636" s="123"/>
      <c r="I636" s="117" t="s">
        <v>122</v>
      </c>
      <c r="J636" s="115">
        <v>385</v>
      </c>
      <c r="K636" s="115" t="s">
        <v>23</v>
      </c>
      <c r="L636" s="117" t="s">
        <v>24</v>
      </c>
      <c r="M636" s="66">
        <v>155990</v>
      </c>
      <c r="N636" s="66">
        <v>2394</v>
      </c>
      <c r="O636" s="66">
        <v>53037</v>
      </c>
      <c r="P636" s="66">
        <v>209026</v>
      </c>
      <c r="Q636" s="67">
        <v>0.4</v>
      </c>
      <c r="R636" s="66">
        <v>83611</v>
      </c>
      <c r="S636" s="66">
        <v>292637</v>
      </c>
      <c r="T636" s="106">
        <f>IF(A636="Upgrade",IF(OR(H636=4,H636=5),_xlfn.XLOOKUP(I636,'Renewal Rates'!$A$22:$A$27,'Renewal Rates'!$B$22:$B$27,'Renewal Rates'!$B$27,0),'Renewal Rates'!$F$7),IF(A636="Renewal",100%,0%))</f>
        <v>0</v>
      </c>
      <c r="U636" s="68">
        <f t="shared" si="10"/>
        <v>0</v>
      </c>
    </row>
    <row r="637" spans="1:21" s="41" customFormat="1" ht="13.8" x14ac:dyDescent="0.3">
      <c r="A637" s="115" t="s">
        <v>25</v>
      </c>
      <c r="B637" s="116" t="s">
        <v>22</v>
      </c>
      <c r="C637" s="116">
        <v>1.0089999999999999</v>
      </c>
      <c r="D637" s="117"/>
      <c r="E637" s="117">
        <v>59.1</v>
      </c>
      <c r="F637" s="117"/>
      <c r="G637" s="117">
        <v>375</v>
      </c>
      <c r="H637" s="123"/>
      <c r="I637" s="117" t="s">
        <v>122</v>
      </c>
      <c r="J637" s="115">
        <v>385</v>
      </c>
      <c r="K637" s="115" t="s">
        <v>23</v>
      </c>
      <c r="L637" s="117" t="s">
        <v>24</v>
      </c>
      <c r="M637" s="66">
        <v>149717</v>
      </c>
      <c r="N637" s="66">
        <v>2533</v>
      </c>
      <c r="O637" s="66">
        <v>50904</v>
      </c>
      <c r="P637" s="66">
        <v>200620</v>
      </c>
      <c r="Q637" s="67">
        <v>0.4</v>
      </c>
      <c r="R637" s="66">
        <v>80248</v>
      </c>
      <c r="S637" s="66">
        <v>280868</v>
      </c>
      <c r="T637" s="106">
        <f>IF(A637="Upgrade",IF(OR(H637=4,H637=5),_xlfn.XLOOKUP(I637,'Renewal Rates'!$A$22:$A$27,'Renewal Rates'!$B$22:$B$27,'Renewal Rates'!$B$27,0),'Renewal Rates'!$F$7),IF(A637="Renewal",100%,0%))</f>
        <v>0</v>
      </c>
      <c r="U637" s="68">
        <f t="shared" si="10"/>
        <v>0</v>
      </c>
    </row>
    <row r="638" spans="1:21" s="41" customFormat="1" ht="13.8" x14ac:dyDescent="0.3">
      <c r="A638" s="115" t="s">
        <v>25</v>
      </c>
      <c r="B638" s="116" t="s">
        <v>22</v>
      </c>
      <c r="C638" s="116">
        <v>1.008</v>
      </c>
      <c r="D638" s="117"/>
      <c r="E638" s="117">
        <v>94.7</v>
      </c>
      <c r="F638" s="117"/>
      <c r="G638" s="117">
        <v>450</v>
      </c>
      <c r="H638" s="123"/>
      <c r="I638" s="117" t="s">
        <v>122</v>
      </c>
      <c r="J638" s="115">
        <v>385</v>
      </c>
      <c r="K638" s="115" t="s">
        <v>23</v>
      </c>
      <c r="L638" s="117" t="s">
        <v>24</v>
      </c>
      <c r="M638" s="66">
        <v>264243</v>
      </c>
      <c r="N638" s="66">
        <v>2790</v>
      </c>
      <c r="O638" s="66">
        <v>89843</v>
      </c>
      <c r="P638" s="66">
        <v>354086</v>
      </c>
      <c r="Q638" s="67">
        <v>0.4</v>
      </c>
      <c r="R638" s="66">
        <v>141634</v>
      </c>
      <c r="S638" s="66">
        <v>495720</v>
      </c>
      <c r="T638" s="106">
        <f>IF(A638="Upgrade",IF(OR(H638=4,H638=5),_xlfn.XLOOKUP(I638,'Renewal Rates'!$A$22:$A$27,'Renewal Rates'!$B$22:$B$27,'Renewal Rates'!$B$27,0),'Renewal Rates'!$F$7),IF(A638="Renewal",100%,0%))</f>
        <v>0</v>
      </c>
      <c r="U638" s="68">
        <f t="shared" si="10"/>
        <v>0</v>
      </c>
    </row>
    <row r="639" spans="1:21" s="41" customFormat="1" ht="13.8" x14ac:dyDescent="0.3">
      <c r="A639" s="115" t="s">
        <v>21</v>
      </c>
      <c r="B639" s="116">
        <v>2000680737</v>
      </c>
      <c r="C639" s="116">
        <v>1.02</v>
      </c>
      <c r="D639" s="117">
        <v>7.4</v>
      </c>
      <c r="E639" s="117"/>
      <c r="F639" s="117">
        <v>750</v>
      </c>
      <c r="G639" s="117">
        <v>1125</v>
      </c>
      <c r="H639" s="123"/>
      <c r="I639" s="117" t="s">
        <v>122</v>
      </c>
      <c r="J639" s="115">
        <v>385</v>
      </c>
      <c r="K639" s="115" t="s">
        <v>23</v>
      </c>
      <c r="L639" s="117" t="s">
        <v>24</v>
      </c>
      <c r="M639" s="66">
        <v>143959</v>
      </c>
      <c r="N639" s="66">
        <v>19459</v>
      </c>
      <c r="O639" s="66">
        <v>48946</v>
      </c>
      <c r="P639" s="66">
        <v>192906</v>
      </c>
      <c r="Q639" s="67">
        <v>0.4</v>
      </c>
      <c r="R639" s="66">
        <v>77162</v>
      </c>
      <c r="S639" s="66">
        <v>270068</v>
      </c>
      <c r="T639" s="106">
        <f>IF(A639="Upgrade",IF(OR(H639=4,H639=5),_xlfn.XLOOKUP(I639,'Renewal Rates'!$A$22:$A$27,'Renewal Rates'!$B$22:$B$27,'Renewal Rates'!$B$27,0),'Renewal Rates'!$F$7),IF(A639="Renewal",100%,0%))</f>
        <v>2.6599999999999999E-2</v>
      </c>
      <c r="U639" s="68">
        <f t="shared" si="10"/>
        <v>7183.8087999999998</v>
      </c>
    </row>
    <row r="640" spans="1:21" s="41" customFormat="1" ht="13.8" x14ac:dyDescent="0.3">
      <c r="A640" s="115" t="s">
        <v>21</v>
      </c>
      <c r="B640" s="116">
        <v>2000885978</v>
      </c>
      <c r="C640" s="116">
        <v>1.02</v>
      </c>
      <c r="D640" s="117">
        <v>60.5</v>
      </c>
      <c r="E640" s="117"/>
      <c r="F640" s="117">
        <v>525</v>
      </c>
      <c r="G640" s="117">
        <v>1125</v>
      </c>
      <c r="H640" s="123"/>
      <c r="I640" s="117" t="s">
        <v>122</v>
      </c>
      <c r="J640" s="115">
        <v>385</v>
      </c>
      <c r="K640" s="115" t="s">
        <v>23</v>
      </c>
      <c r="L640" s="117" t="s">
        <v>24</v>
      </c>
      <c r="M640" s="66">
        <v>440660</v>
      </c>
      <c r="N640" s="66">
        <v>7278</v>
      </c>
      <c r="O640" s="66">
        <v>149824</v>
      </c>
      <c r="P640" s="66">
        <v>590485</v>
      </c>
      <c r="Q640" s="67">
        <v>0.4</v>
      </c>
      <c r="R640" s="66">
        <v>236194</v>
      </c>
      <c r="S640" s="66">
        <v>826679</v>
      </c>
      <c r="T640" s="106">
        <f>IF(A640="Upgrade",IF(OR(H640=4,H640=5),_xlfn.XLOOKUP(I640,'Renewal Rates'!$A$22:$A$27,'Renewal Rates'!$B$22:$B$27,'Renewal Rates'!$B$27,0),'Renewal Rates'!$F$7),IF(A640="Renewal",100%,0%))</f>
        <v>2.6599999999999999E-2</v>
      </c>
      <c r="U640" s="68">
        <f t="shared" si="10"/>
        <v>21989.661399999997</v>
      </c>
    </row>
    <row r="641" spans="1:21" s="41" customFormat="1" ht="13.8" x14ac:dyDescent="0.3">
      <c r="A641" s="115" t="s">
        <v>21</v>
      </c>
      <c r="B641" s="116">
        <v>2000932863</v>
      </c>
      <c r="C641" s="116">
        <v>1.016</v>
      </c>
      <c r="D641" s="117">
        <v>75.900000000000006</v>
      </c>
      <c r="E641" s="117"/>
      <c r="F641" s="117">
        <v>300</v>
      </c>
      <c r="G641" s="117">
        <v>525</v>
      </c>
      <c r="H641" s="123"/>
      <c r="I641" s="117" t="s">
        <v>122</v>
      </c>
      <c r="J641" s="115">
        <v>385</v>
      </c>
      <c r="K641" s="115" t="s">
        <v>23</v>
      </c>
      <c r="L641" s="117" t="s">
        <v>24</v>
      </c>
      <c r="M641" s="66">
        <v>226213</v>
      </c>
      <c r="N641" s="66">
        <v>2982</v>
      </c>
      <c r="O641" s="66">
        <v>76912</v>
      </c>
      <c r="P641" s="66">
        <v>303125</v>
      </c>
      <c r="Q641" s="67">
        <v>0.4</v>
      </c>
      <c r="R641" s="66">
        <v>121250</v>
      </c>
      <c r="S641" s="66">
        <v>424375</v>
      </c>
      <c r="T641" s="106">
        <f>IF(A641="Upgrade",IF(OR(H641=4,H641=5),_xlfn.XLOOKUP(I641,'Renewal Rates'!$A$22:$A$27,'Renewal Rates'!$B$22:$B$27,'Renewal Rates'!$B$27,0),'Renewal Rates'!$F$7),IF(A641="Renewal",100%,0%))</f>
        <v>2.6599999999999999E-2</v>
      </c>
      <c r="U641" s="68">
        <f t="shared" si="10"/>
        <v>11288.375</v>
      </c>
    </row>
    <row r="642" spans="1:21" s="41" customFormat="1" ht="13.8" x14ac:dyDescent="0.3">
      <c r="A642" s="115" t="s">
        <v>21</v>
      </c>
      <c r="B642" s="116">
        <v>2000366392</v>
      </c>
      <c r="C642" s="116">
        <v>1.0209999999999999</v>
      </c>
      <c r="D642" s="117">
        <v>4.0999999999999996</v>
      </c>
      <c r="E642" s="117"/>
      <c r="F642" s="117">
        <v>525</v>
      </c>
      <c r="G642" s="117">
        <v>1050</v>
      </c>
      <c r="H642" s="123"/>
      <c r="I642" s="117" t="s">
        <v>122</v>
      </c>
      <c r="J642" s="115">
        <v>385</v>
      </c>
      <c r="K642" s="115" t="s">
        <v>23</v>
      </c>
      <c r="L642" s="117" t="s">
        <v>24</v>
      </c>
      <c r="M642" s="66">
        <v>74836</v>
      </c>
      <c r="N642" s="66">
        <v>18226</v>
      </c>
      <c r="O642" s="66">
        <v>25444</v>
      </c>
      <c r="P642" s="66">
        <v>100280</v>
      </c>
      <c r="Q642" s="67">
        <v>0.4</v>
      </c>
      <c r="R642" s="66">
        <v>40112</v>
      </c>
      <c r="S642" s="66">
        <v>140391</v>
      </c>
      <c r="T642" s="106">
        <f>IF(A642="Upgrade",IF(OR(H642=4,H642=5),_xlfn.XLOOKUP(I642,'Renewal Rates'!$A$22:$A$27,'Renewal Rates'!$B$22:$B$27,'Renewal Rates'!$B$27,0),'Renewal Rates'!$F$7),IF(A642="Renewal",100%,0%))</f>
        <v>2.6599999999999999E-2</v>
      </c>
      <c r="U642" s="68">
        <f t="shared" si="10"/>
        <v>3734.4005999999999</v>
      </c>
    </row>
    <row r="643" spans="1:21" s="41" customFormat="1" ht="13.8" x14ac:dyDescent="0.3">
      <c r="A643" s="115" t="s">
        <v>21</v>
      </c>
      <c r="B643" s="116">
        <v>2000041168</v>
      </c>
      <c r="C643" s="116">
        <v>1.0209999999999999</v>
      </c>
      <c r="D643" s="117">
        <v>15.6</v>
      </c>
      <c r="E643" s="117"/>
      <c r="F643" s="117">
        <v>450</v>
      </c>
      <c r="G643" s="117">
        <v>1050</v>
      </c>
      <c r="H643" s="123"/>
      <c r="I643" s="117" t="s">
        <v>122</v>
      </c>
      <c r="J643" s="115">
        <v>385</v>
      </c>
      <c r="K643" s="115" t="s">
        <v>23</v>
      </c>
      <c r="L643" s="117" t="s">
        <v>24</v>
      </c>
      <c r="M643" s="66">
        <v>143386</v>
      </c>
      <c r="N643" s="66">
        <v>9212</v>
      </c>
      <c r="O643" s="66">
        <v>48751</v>
      </c>
      <c r="P643" s="66">
        <v>192138</v>
      </c>
      <c r="Q643" s="67">
        <v>0.4</v>
      </c>
      <c r="R643" s="66">
        <v>76855</v>
      </c>
      <c r="S643" s="66">
        <v>268993</v>
      </c>
      <c r="T643" s="106">
        <f>IF(A643="Upgrade",IF(OR(H643=4,H643=5),_xlfn.XLOOKUP(I643,'Renewal Rates'!$A$22:$A$27,'Renewal Rates'!$B$22:$B$27,'Renewal Rates'!$B$27,0),'Renewal Rates'!$F$7),IF(A643="Renewal",100%,0%))</f>
        <v>2.6599999999999999E-2</v>
      </c>
      <c r="U643" s="68">
        <f t="shared" si="10"/>
        <v>7155.2137999999995</v>
      </c>
    </row>
    <row r="644" spans="1:21" s="41" customFormat="1" ht="13.8" x14ac:dyDescent="0.3">
      <c r="A644" s="115" t="s">
        <v>21</v>
      </c>
      <c r="B644" s="116">
        <v>2000242054</v>
      </c>
      <c r="C644" s="116">
        <v>1.0209999999999999</v>
      </c>
      <c r="D644" s="117">
        <v>57.7</v>
      </c>
      <c r="E644" s="117"/>
      <c r="F644" s="117">
        <v>450</v>
      </c>
      <c r="G644" s="117">
        <v>1050</v>
      </c>
      <c r="H644" s="123"/>
      <c r="I644" s="117" t="s">
        <v>122</v>
      </c>
      <c r="J644" s="115">
        <v>385</v>
      </c>
      <c r="K644" s="115" t="s">
        <v>23</v>
      </c>
      <c r="L644" s="117" t="s">
        <v>24</v>
      </c>
      <c r="M644" s="66">
        <v>402929</v>
      </c>
      <c r="N644" s="66">
        <v>6985</v>
      </c>
      <c r="O644" s="66">
        <v>136996</v>
      </c>
      <c r="P644" s="66">
        <v>539925</v>
      </c>
      <c r="Q644" s="67">
        <v>0.4</v>
      </c>
      <c r="R644" s="66">
        <v>215970</v>
      </c>
      <c r="S644" s="66">
        <v>755894</v>
      </c>
      <c r="T644" s="106">
        <f>IF(A644="Upgrade",IF(OR(H644=4,H644=5),_xlfn.XLOOKUP(I644,'Renewal Rates'!$A$22:$A$27,'Renewal Rates'!$B$22:$B$27,'Renewal Rates'!$B$27,0),'Renewal Rates'!$F$7),IF(A644="Renewal",100%,0%))</f>
        <v>2.6599999999999999E-2</v>
      </c>
      <c r="U644" s="68">
        <f t="shared" si="10"/>
        <v>20106.7804</v>
      </c>
    </row>
    <row r="645" spans="1:21" s="41" customFormat="1" ht="13.8" x14ac:dyDescent="0.3">
      <c r="A645" s="115" t="s">
        <v>21</v>
      </c>
      <c r="B645" s="116">
        <v>3000044890</v>
      </c>
      <c r="C645" s="116">
        <v>1.0209999999999999</v>
      </c>
      <c r="D645" s="117">
        <v>20.6</v>
      </c>
      <c r="E645" s="117">
        <v>0</v>
      </c>
      <c r="F645" s="117">
        <v>450</v>
      </c>
      <c r="G645" s="117">
        <v>1050</v>
      </c>
      <c r="H645" s="123"/>
      <c r="I645" s="117" t="s">
        <v>122</v>
      </c>
      <c r="J645" s="115">
        <v>385</v>
      </c>
      <c r="K645" s="115" t="s">
        <v>23</v>
      </c>
      <c r="L645" s="117" t="s">
        <v>24</v>
      </c>
      <c r="M645" s="66">
        <v>176317</v>
      </c>
      <c r="N645" s="66">
        <v>8547</v>
      </c>
      <c r="O645" s="66">
        <v>59948</v>
      </c>
      <c r="P645" s="66">
        <v>236265</v>
      </c>
      <c r="Q645" s="67">
        <v>0.4</v>
      </c>
      <c r="R645" s="66">
        <v>94506</v>
      </c>
      <c r="S645" s="66">
        <v>330770</v>
      </c>
      <c r="T645" s="106">
        <f>IF(A645="Upgrade",IF(OR(H645=4,H645=5),_xlfn.XLOOKUP(I645,'Renewal Rates'!$A$22:$A$27,'Renewal Rates'!$B$22:$B$27,'Renewal Rates'!$B$27,0),'Renewal Rates'!$F$7),IF(A645="Renewal",100%,0%))</f>
        <v>2.6599999999999999E-2</v>
      </c>
      <c r="U645" s="68">
        <f t="shared" si="10"/>
        <v>8798.482</v>
      </c>
    </row>
    <row r="646" spans="1:21" s="41" customFormat="1" ht="13.8" x14ac:dyDescent="0.3">
      <c r="A646" s="115" t="s">
        <v>21</v>
      </c>
      <c r="B646" s="116">
        <v>2000601169</v>
      </c>
      <c r="C646" s="116">
        <v>1.0209999999999999</v>
      </c>
      <c r="D646" s="117">
        <v>31.9</v>
      </c>
      <c r="E646" s="117"/>
      <c r="F646" s="117">
        <v>450</v>
      </c>
      <c r="G646" s="117">
        <v>1050</v>
      </c>
      <c r="H646" s="123"/>
      <c r="I646" s="117" t="s">
        <v>122</v>
      </c>
      <c r="J646" s="115">
        <v>385</v>
      </c>
      <c r="K646" s="115" t="s">
        <v>23</v>
      </c>
      <c r="L646" s="117" t="s">
        <v>24</v>
      </c>
      <c r="M646" s="66">
        <v>221839</v>
      </c>
      <c r="N646" s="66">
        <v>6950</v>
      </c>
      <c r="O646" s="66">
        <v>75425</v>
      </c>
      <c r="P646" s="66">
        <v>297264</v>
      </c>
      <c r="Q646" s="67">
        <v>0.4</v>
      </c>
      <c r="R646" s="66">
        <v>118906</v>
      </c>
      <c r="S646" s="66">
        <v>416169</v>
      </c>
      <c r="T646" s="106">
        <f>IF(A646="Upgrade",IF(OR(H646=4,H646=5),_xlfn.XLOOKUP(I646,'Renewal Rates'!$A$22:$A$27,'Renewal Rates'!$B$22:$B$27,'Renewal Rates'!$B$27,0),'Renewal Rates'!$F$7),IF(A646="Renewal",100%,0%))</f>
        <v>2.6599999999999999E-2</v>
      </c>
      <c r="U646" s="68">
        <f t="shared" si="10"/>
        <v>11070.0954</v>
      </c>
    </row>
    <row r="647" spans="1:21" s="41" customFormat="1" ht="13.8" x14ac:dyDescent="0.3">
      <c r="A647" s="115" t="s">
        <v>21</v>
      </c>
      <c r="B647" s="116">
        <v>3000044891</v>
      </c>
      <c r="C647" s="116">
        <v>1.0109999999999999</v>
      </c>
      <c r="D647" s="117">
        <v>28</v>
      </c>
      <c r="E647" s="117"/>
      <c r="F647" s="117">
        <v>450</v>
      </c>
      <c r="G647" s="117">
        <v>825</v>
      </c>
      <c r="H647" s="123"/>
      <c r="I647" s="117" t="s">
        <v>122</v>
      </c>
      <c r="J647" s="115">
        <v>385</v>
      </c>
      <c r="K647" s="115" t="s">
        <v>23</v>
      </c>
      <c r="L647" s="117" t="s">
        <v>24</v>
      </c>
      <c r="M647" s="66">
        <v>149998</v>
      </c>
      <c r="N647" s="66">
        <v>5365</v>
      </c>
      <c r="O647" s="66">
        <v>50999</v>
      </c>
      <c r="P647" s="66">
        <v>200997</v>
      </c>
      <c r="Q647" s="67">
        <v>0.4</v>
      </c>
      <c r="R647" s="66">
        <v>80399</v>
      </c>
      <c r="S647" s="66">
        <v>281396</v>
      </c>
      <c r="T647" s="106">
        <f>IF(A647="Upgrade",IF(OR(H647=4,H647=5),_xlfn.XLOOKUP(I647,'Renewal Rates'!$A$22:$A$27,'Renewal Rates'!$B$22:$B$27,'Renewal Rates'!$B$27,0),'Renewal Rates'!$F$7),IF(A647="Renewal",100%,0%))</f>
        <v>2.6599999999999999E-2</v>
      </c>
      <c r="U647" s="68">
        <f t="shared" si="10"/>
        <v>7485.1335999999992</v>
      </c>
    </row>
    <row r="648" spans="1:21" s="41" customFormat="1" ht="13.8" x14ac:dyDescent="0.3">
      <c r="A648" s="115" t="s">
        <v>21</v>
      </c>
      <c r="B648" s="116">
        <v>2000884052</v>
      </c>
      <c r="C648" s="116">
        <v>1.0109999999999999</v>
      </c>
      <c r="D648" s="117">
        <v>31.6</v>
      </c>
      <c r="E648" s="117"/>
      <c r="F648" s="117">
        <v>450</v>
      </c>
      <c r="G648" s="117">
        <v>825</v>
      </c>
      <c r="H648" s="123"/>
      <c r="I648" s="117" t="s">
        <v>122</v>
      </c>
      <c r="J648" s="115">
        <v>385</v>
      </c>
      <c r="K648" s="115" t="s">
        <v>23</v>
      </c>
      <c r="L648" s="117" t="s">
        <v>24</v>
      </c>
      <c r="M648" s="66">
        <v>155579</v>
      </c>
      <c r="N648" s="66">
        <v>4920</v>
      </c>
      <c r="O648" s="66">
        <v>52897</v>
      </c>
      <c r="P648" s="66">
        <v>208476</v>
      </c>
      <c r="Q648" s="67">
        <v>0.4</v>
      </c>
      <c r="R648" s="66">
        <v>83390</v>
      </c>
      <c r="S648" s="66">
        <v>291866</v>
      </c>
      <c r="T648" s="106">
        <f>IF(A648="Upgrade",IF(OR(H648=4,H648=5),_xlfn.XLOOKUP(I648,'Renewal Rates'!$A$22:$A$27,'Renewal Rates'!$B$22:$B$27,'Renewal Rates'!$B$27,0),'Renewal Rates'!$F$7),IF(A648="Renewal",100%,0%))</f>
        <v>2.6599999999999999E-2</v>
      </c>
      <c r="U648" s="68">
        <f t="shared" si="10"/>
        <v>7763.6355999999996</v>
      </c>
    </row>
    <row r="649" spans="1:21" s="41" customFormat="1" ht="13.8" x14ac:dyDescent="0.3">
      <c r="A649" s="115" t="s">
        <v>21</v>
      </c>
      <c r="B649" s="116">
        <v>2000276111</v>
      </c>
      <c r="C649" s="116">
        <v>1.0109999999999999</v>
      </c>
      <c r="D649" s="117">
        <v>32.200000000000003</v>
      </c>
      <c r="E649" s="117"/>
      <c r="F649" s="117">
        <v>450</v>
      </c>
      <c r="G649" s="117">
        <v>825</v>
      </c>
      <c r="H649" s="123"/>
      <c r="I649" s="117" t="s">
        <v>122</v>
      </c>
      <c r="J649" s="115">
        <v>385</v>
      </c>
      <c r="K649" s="115" t="s">
        <v>23</v>
      </c>
      <c r="L649" s="117" t="s">
        <v>24</v>
      </c>
      <c r="M649" s="66">
        <v>156450</v>
      </c>
      <c r="N649" s="66">
        <v>4860</v>
      </c>
      <c r="O649" s="66">
        <v>53193</v>
      </c>
      <c r="P649" s="66">
        <v>209642</v>
      </c>
      <c r="Q649" s="67">
        <v>0.4</v>
      </c>
      <c r="R649" s="66">
        <v>83857</v>
      </c>
      <c r="S649" s="66">
        <v>293499</v>
      </c>
      <c r="T649" s="106">
        <f>IF(A649="Upgrade",IF(OR(H649=4,H649=5),_xlfn.XLOOKUP(I649,'Renewal Rates'!$A$22:$A$27,'Renewal Rates'!$B$22:$B$27,'Renewal Rates'!$B$27,0),'Renewal Rates'!$F$7),IF(A649="Renewal",100%,0%))</f>
        <v>2.6599999999999999E-2</v>
      </c>
      <c r="U649" s="68">
        <f t="shared" si="10"/>
        <v>7807.0733999999993</v>
      </c>
    </row>
    <row r="650" spans="1:21" s="41" customFormat="1" ht="13.8" x14ac:dyDescent="0.3">
      <c r="A650" s="115" t="s">
        <v>21</v>
      </c>
      <c r="B650" s="116">
        <v>2000467474</v>
      </c>
      <c r="C650" s="116">
        <v>1.0109999999999999</v>
      </c>
      <c r="D650" s="117">
        <v>142.6</v>
      </c>
      <c r="E650" s="117"/>
      <c r="F650" s="117">
        <v>375</v>
      </c>
      <c r="G650" s="117">
        <v>825</v>
      </c>
      <c r="H650" s="123"/>
      <c r="I650" s="117" t="s">
        <v>122</v>
      </c>
      <c r="J650" s="115">
        <v>385</v>
      </c>
      <c r="K650" s="115" t="s">
        <v>23</v>
      </c>
      <c r="L650" s="117" t="s">
        <v>24</v>
      </c>
      <c r="M650" s="66">
        <v>625405</v>
      </c>
      <c r="N650" s="66">
        <v>4387</v>
      </c>
      <c r="O650" s="66">
        <v>212638</v>
      </c>
      <c r="P650" s="66">
        <v>838043</v>
      </c>
      <c r="Q650" s="67">
        <v>0.4</v>
      </c>
      <c r="R650" s="66">
        <v>335217</v>
      </c>
      <c r="S650" s="66">
        <v>1173260</v>
      </c>
      <c r="T650" s="106">
        <f>IF(A650="Upgrade",IF(OR(H650=4,H650=5),_xlfn.XLOOKUP(I650,'Renewal Rates'!$A$22:$A$27,'Renewal Rates'!$B$22:$B$27,'Renewal Rates'!$B$27,0),'Renewal Rates'!$F$7),IF(A650="Renewal",100%,0%))</f>
        <v>2.6599999999999999E-2</v>
      </c>
      <c r="U650" s="68">
        <f t="shared" si="10"/>
        <v>31208.715999999997</v>
      </c>
    </row>
    <row r="651" spans="1:21" s="41" customFormat="1" ht="13.8" x14ac:dyDescent="0.3">
      <c r="A651" s="115" t="s">
        <v>21</v>
      </c>
      <c r="B651" s="116">
        <v>2000779227</v>
      </c>
      <c r="C651" s="116">
        <v>1.0109999999999999</v>
      </c>
      <c r="D651" s="117">
        <v>11</v>
      </c>
      <c r="E651" s="117"/>
      <c r="F651" s="117">
        <v>375</v>
      </c>
      <c r="G651" s="117">
        <v>825</v>
      </c>
      <c r="H651" s="123"/>
      <c r="I651" s="117" t="s">
        <v>122</v>
      </c>
      <c r="J651" s="115">
        <v>385</v>
      </c>
      <c r="K651" s="115" t="s">
        <v>23</v>
      </c>
      <c r="L651" s="117" t="s">
        <v>24</v>
      </c>
      <c r="M651" s="66">
        <v>85215</v>
      </c>
      <c r="N651" s="66">
        <v>7778</v>
      </c>
      <c r="O651" s="66">
        <v>28973</v>
      </c>
      <c r="P651" s="66">
        <v>114189</v>
      </c>
      <c r="Q651" s="67">
        <v>0.4</v>
      </c>
      <c r="R651" s="66">
        <v>45675</v>
      </c>
      <c r="S651" s="66">
        <v>159864</v>
      </c>
      <c r="T651" s="106">
        <f>IF(A651="Upgrade",IF(OR(H651=4,H651=5),_xlfn.XLOOKUP(I651,'Renewal Rates'!$A$22:$A$27,'Renewal Rates'!$B$22:$B$27,'Renewal Rates'!$B$27,0),'Renewal Rates'!$F$7),IF(A651="Renewal",100%,0%))</f>
        <v>2.6599999999999999E-2</v>
      </c>
      <c r="U651" s="68">
        <f t="shared" si="10"/>
        <v>4252.3823999999995</v>
      </c>
    </row>
    <row r="652" spans="1:21" s="41" customFormat="1" ht="13.8" x14ac:dyDescent="0.3">
      <c r="A652" s="115" t="s">
        <v>25</v>
      </c>
      <c r="B652" s="116" t="s">
        <v>22</v>
      </c>
      <c r="C652" s="116">
        <v>1.012</v>
      </c>
      <c r="D652" s="117"/>
      <c r="E652" s="117">
        <v>82.2</v>
      </c>
      <c r="F652" s="117"/>
      <c r="G652" s="117">
        <v>675</v>
      </c>
      <c r="H652" s="123"/>
      <c r="I652" s="117" t="s">
        <v>122</v>
      </c>
      <c r="J652" s="115">
        <v>385</v>
      </c>
      <c r="K652" s="115" t="s">
        <v>23</v>
      </c>
      <c r="L652" s="117" t="s">
        <v>24</v>
      </c>
      <c r="M652" s="66">
        <v>309410</v>
      </c>
      <c r="N652" s="66">
        <v>3763</v>
      </c>
      <c r="O652" s="66">
        <v>105199</v>
      </c>
      <c r="P652" s="66">
        <v>414609</v>
      </c>
      <c r="Q652" s="67">
        <v>0.4</v>
      </c>
      <c r="R652" s="66">
        <v>165844</v>
      </c>
      <c r="S652" s="66">
        <v>580453</v>
      </c>
      <c r="T652" s="106">
        <f>IF(A652="Upgrade",IF(OR(H652=4,H652=5),_xlfn.XLOOKUP(I652,'Renewal Rates'!$A$22:$A$27,'Renewal Rates'!$B$22:$B$27,'Renewal Rates'!$B$27,0),'Renewal Rates'!$F$7),IF(A652="Renewal",100%,0%))</f>
        <v>0</v>
      </c>
      <c r="U652" s="68">
        <f t="shared" si="10"/>
        <v>0</v>
      </c>
    </row>
    <row r="653" spans="1:21" s="41" customFormat="1" ht="13.8" x14ac:dyDescent="0.3">
      <c r="A653" s="115" t="s">
        <v>25</v>
      </c>
      <c r="B653" s="116" t="s">
        <v>22</v>
      </c>
      <c r="C653" s="116">
        <v>1.006</v>
      </c>
      <c r="D653" s="117"/>
      <c r="E653" s="117">
        <v>124.7</v>
      </c>
      <c r="F653" s="117"/>
      <c r="G653" s="117">
        <v>600</v>
      </c>
      <c r="H653" s="123"/>
      <c r="I653" s="117" t="s">
        <v>122</v>
      </c>
      <c r="J653" s="115">
        <v>385</v>
      </c>
      <c r="K653" s="115" t="s">
        <v>23</v>
      </c>
      <c r="L653" s="117" t="s">
        <v>24</v>
      </c>
      <c r="M653" s="66">
        <v>403600</v>
      </c>
      <c r="N653" s="66">
        <v>3237</v>
      </c>
      <c r="O653" s="66">
        <v>137224</v>
      </c>
      <c r="P653" s="66">
        <v>540824</v>
      </c>
      <c r="Q653" s="67">
        <v>0.4</v>
      </c>
      <c r="R653" s="66">
        <v>216329</v>
      </c>
      <c r="S653" s="66">
        <v>757153</v>
      </c>
      <c r="T653" s="106">
        <f>IF(A653="Upgrade",IF(OR(H653=4,H653=5),_xlfn.XLOOKUP(I653,'Renewal Rates'!$A$22:$A$27,'Renewal Rates'!$B$22:$B$27,'Renewal Rates'!$B$27,0),'Renewal Rates'!$F$7),IF(A653="Renewal",100%,0%))</f>
        <v>0</v>
      </c>
      <c r="U653" s="68">
        <f t="shared" si="10"/>
        <v>0</v>
      </c>
    </row>
    <row r="654" spans="1:21" s="41" customFormat="1" ht="13.8" x14ac:dyDescent="0.3">
      <c r="A654" s="115" t="s">
        <v>25</v>
      </c>
      <c r="B654" s="116" t="s">
        <v>22</v>
      </c>
      <c r="C654" s="116">
        <v>1.004</v>
      </c>
      <c r="D654" s="117"/>
      <c r="E654" s="117">
        <v>61.8</v>
      </c>
      <c r="F654" s="117"/>
      <c r="G654" s="117">
        <v>525</v>
      </c>
      <c r="H654" s="123"/>
      <c r="I654" s="117" t="s">
        <v>122</v>
      </c>
      <c r="J654" s="115">
        <v>385</v>
      </c>
      <c r="K654" s="115" t="s">
        <v>23</v>
      </c>
      <c r="L654" s="117" t="s">
        <v>24</v>
      </c>
      <c r="M654" s="66">
        <v>194532</v>
      </c>
      <c r="N654" s="66">
        <v>3146</v>
      </c>
      <c r="O654" s="66">
        <v>66141</v>
      </c>
      <c r="P654" s="66">
        <v>260673</v>
      </c>
      <c r="Q654" s="67">
        <v>0.4</v>
      </c>
      <c r="R654" s="66">
        <v>104269</v>
      </c>
      <c r="S654" s="66">
        <v>364942</v>
      </c>
      <c r="T654" s="106">
        <f>IF(A654="Upgrade",IF(OR(H654=4,H654=5),_xlfn.XLOOKUP(I654,'Renewal Rates'!$A$22:$A$27,'Renewal Rates'!$B$22:$B$27,'Renewal Rates'!$B$27,0),'Renewal Rates'!$F$7),IF(A654="Renewal",100%,0%))</f>
        <v>0</v>
      </c>
      <c r="U654" s="68">
        <f t="shared" si="10"/>
        <v>0</v>
      </c>
    </row>
    <row r="655" spans="1:21" s="41" customFormat="1" ht="13.8" x14ac:dyDescent="0.3">
      <c r="A655" s="115" t="s">
        <v>25</v>
      </c>
      <c r="B655" s="116" t="s">
        <v>22</v>
      </c>
      <c r="C655" s="116">
        <v>1.0049999999999999</v>
      </c>
      <c r="D655" s="117"/>
      <c r="E655" s="117">
        <v>152.6</v>
      </c>
      <c r="F655" s="117"/>
      <c r="G655" s="117">
        <v>675</v>
      </c>
      <c r="H655" s="123"/>
      <c r="I655" s="117" t="s">
        <v>122</v>
      </c>
      <c r="J655" s="115">
        <v>385</v>
      </c>
      <c r="K655" s="115" t="s">
        <v>23</v>
      </c>
      <c r="L655" s="117" t="s">
        <v>24</v>
      </c>
      <c r="M655" s="66">
        <v>579603</v>
      </c>
      <c r="N655" s="66">
        <v>3798</v>
      </c>
      <c r="O655" s="66">
        <v>197065</v>
      </c>
      <c r="P655" s="66">
        <v>776668</v>
      </c>
      <c r="Q655" s="67">
        <v>0.4</v>
      </c>
      <c r="R655" s="66">
        <v>310667</v>
      </c>
      <c r="S655" s="66">
        <v>1087336</v>
      </c>
      <c r="T655" s="106">
        <f>IF(A655="Upgrade",IF(OR(H655=4,H655=5),_xlfn.XLOOKUP(I655,'Renewal Rates'!$A$22:$A$27,'Renewal Rates'!$B$22:$B$27,'Renewal Rates'!$B$27,0),'Renewal Rates'!$F$7),IF(A655="Renewal",100%,0%))</f>
        <v>0</v>
      </c>
      <c r="U655" s="68">
        <f t="shared" si="10"/>
        <v>0</v>
      </c>
    </row>
    <row r="656" spans="1:21" s="41" customFormat="1" ht="13.8" x14ac:dyDescent="0.3">
      <c r="A656" s="115" t="s">
        <v>21</v>
      </c>
      <c r="B656" s="116">
        <v>2000096338</v>
      </c>
      <c r="C656" s="116">
        <v>1.0169999999999999</v>
      </c>
      <c r="D656" s="117">
        <v>23.7</v>
      </c>
      <c r="E656" s="117"/>
      <c r="F656" s="117">
        <v>225</v>
      </c>
      <c r="G656" s="117">
        <v>750</v>
      </c>
      <c r="H656" s="123"/>
      <c r="I656" s="117" t="s">
        <v>122</v>
      </c>
      <c r="J656" s="115">
        <v>385</v>
      </c>
      <c r="K656" s="115" t="s">
        <v>23</v>
      </c>
      <c r="L656" s="117" t="s">
        <v>24</v>
      </c>
      <c r="M656" s="66">
        <v>123462</v>
      </c>
      <c r="N656" s="66">
        <v>5217</v>
      </c>
      <c r="O656" s="66">
        <v>48960</v>
      </c>
      <c r="P656" s="66">
        <v>192960</v>
      </c>
      <c r="Q656" s="67">
        <v>0.4</v>
      </c>
      <c r="R656" s="66">
        <v>77184</v>
      </c>
      <c r="S656" s="66">
        <v>270143</v>
      </c>
      <c r="T656" s="106">
        <f>IF(A656="Upgrade",IF(OR(H656=4,H656=5),_xlfn.XLOOKUP(I656,'Renewal Rates'!$A$22:$A$27,'Renewal Rates'!$B$22:$B$27,'Renewal Rates'!$B$27,0),'Renewal Rates'!$F$7),IF(A656="Renewal",100%,0%))</f>
        <v>2.6599999999999999E-2</v>
      </c>
      <c r="U656" s="68">
        <f t="shared" si="10"/>
        <v>7185.8037999999997</v>
      </c>
    </row>
    <row r="657" spans="1:21" s="41" customFormat="1" ht="13.8" x14ac:dyDescent="0.3">
      <c r="A657" s="115" t="s">
        <v>21</v>
      </c>
      <c r="B657" s="116">
        <v>2000567122</v>
      </c>
      <c r="C657" s="116">
        <v>1.0169999999999999</v>
      </c>
      <c r="D657" s="117">
        <v>23.6</v>
      </c>
      <c r="E657" s="117"/>
      <c r="F657" s="117">
        <v>225</v>
      </c>
      <c r="G657" s="117">
        <v>750</v>
      </c>
      <c r="H657" s="123"/>
      <c r="I657" s="117" t="s">
        <v>122</v>
      </c>
      <c r="J657" s="115">
        <v>385</v>
      </c>
      <c r="K657" s="115" t="s">
        <v>23</v>
      </c>
      <c r="L657" s="117" t="s">
        <v>24</v>
      </c>
      <c r="M657" s="66">
        <v>107043</v>
      </c>
      <c r="N657" s="66">
        <v>4530</v>
      </c>
      <c r="O657" s="66">
        <v>40987</v>
      </c>
      <c r="P657" s="66">
        <v>161537</v>
      </c>
      <c r="Q657" s="67">
        <v>0.4</v>
      </c>
      <c r="R657" s="66">
        <v>64615</v>
      </c>
      <c r="S657" s="66">
        <v>226151</v>
      </c>
      <c r="T657" s="106">
        <f>IF(A657="Upgrade",IF(OR(H657=4,H657=5),_xlfn.XLOOKUP(I657,'Renewal Rates'!$A$22:$A$27,'Renewal Rates'!$B$22:$B$27,'Renewal Rates'!$B$27,0),'Renewal Rates'!$F$7),IF(A657="Renewal",100%,0%))</f>
        <v>2.6599999999999999E-2</v>
      </c>
      <c r="U657" s="68">
        <f t="shared" si="10"/>
        <v>6015.6165999999994</v>
      </c>
    </row>
    <row r="658" spans="1:21" s="41" customFormat="1" ht="13.8" x14ac:dyDescent="0.3">
      <c r="A658" s="115" t="s">
        <v>21</v>
      </c>
      <c r="B658" s="116">
        <v>2000078112</v>
      </c>
      <c r="C658" s="116">
        <v>1.0169999999999999</v>
      </c>
      <c r="D658" s="117">
        <v>31</v>
      </c>
      <c r="E658" s="117"/>
      <c r="F658" s="117">
        <v>225</v>
      </c>
      <c r="G658" s="117">
        <v>750</v>
      </c>
      <c r="H658" s="123"/>
      <c r="I658" s="117" t="s">
        <v>122</v>
      </c>
      <c r="J658" s="115">
        <v>385</v>
      </c>
      <c r="K658" s="115" t="s">
        <v>23</v>
      </c>
      <c r="L658" s="117" t="s">
        <v>24</v>
      </c>
      <c r="M658" s="66">
        <v>114803</v>
      </c>
      <c r="N658" s="66">
        <v>3698</v>
      </c>
      <c r="O658" s="66">
        <v>51026</v>
      </c>
      <c r="P658" s="66">
        <v>201102</v>
      </c>
      <c r="Q658" s="67">
        <v>0.4</v>
      </c>
      <c r="R658" s="66">
        <v>80441</v>
      </c>
      <c r="S658" s="66">
        <v>281543</v>
      </c>
      <c r="T658" s="106">
        <f>IF(A658="Upgrade",IF(OR(H658=4,H658=5),_xlfn.XLOOKUP(I658,'Renewal Rates'!$A$22:$A$27,'Renewal Rates'!$B$22:$B$27,'Renewal Rates'!$B$27,0),'Renewal Rates'!$F$7),IF(A658="Renewal",100%,0%))</f>
        <v>2.6599999999999999E-2</v>
      </c>
      <c r="U658" s="68">
        <f t="shared" si="10"/>
        <v>7489.0437999999995</v>
      </c>
    </row>
    <row r="659" spans="1:21" s="41" customFormat="1" ht="13.8" x14ac:dyDescent="0.3">
      <c r="A659" s="115" t="s">
        <v>21</v>
      </c>
      <c r="B659" s="116">
        <v>3000162117</v>
      </c>
      <c r="C659" s="116">
        <v>1.0169999999999999</v>
      </c>
      <c r="D659" s="117">
        <v>35.299999999999997</v>
      </c>
      <c r="E659" s="117"/>
      <c r="F659" s="117">
        <v>225</v>
      </c>
      <c r="G659" s="117">
        <v>750</v>
      </c>
      <c r="H659" s="123"/>
      <c r="I659" s="117" t="s">
        <v>122</v>
      </c>
      <c r="J659" s="115">
        <v>385</v>
      </c>
      <c r="K659" s="115" t="s">
        <v>23</v>
      </c>
      <c r="L659" s="117" t="s">
        <v>24</v>
      </c>
      <c r="M659" s="66">
        <v>138732</v>
      </c>
      <c r="N659" s="66">
        <v>3925</v>
      </c>
      <c r="O659" s="66">
        <v>53012</v>
      </c>
      <c r="P659" s="66">
        <v>208929</v>
      </c>
      <c r="Q659" s="67">
        <v>0.4</v>
      </c>
      <c r="R659" s="66">
        <v>83572</v>
      </c>
      <c r="S659" s="66">
        <v>292501</v>
      </c>
      <c r="T659" s="106">
        <f>IF(A659="Upgrade",IF(OR(H659=4,H659=5),_xlfn.XLOOKUP(I659,'Renewal Rates'!$A$22:$A$27,'Renewal Rates'!$B$22:$B$27,'Renewal Rates'!$B$27,0),'Renewal Rates'!$F$7),IF(A659="Renewal",100%,0%))</f>
        <v>2.6599999999999999E-2</v>
      </c>
      <c r="U659" s="68">
        <f t="shared" si="10"/>
        <v>7780.5265999999992</v>
      </c>
    </row>
    <row r="660" spans="1:21" s="41" customFormat="1" ht="13.8" x14ac:dyDescent="0.3">
      <c r="A660" s="115" t="s">
        <v>21</v>
      </c>
      <c r="B660" s="116">
        <v>2000060135</v>
      </c>
      <c r="C660" s="116">
        <v>1.0169999999999999</v>
      </c>
      <c r="D660" s="117">
        <v>53.9</v>
      </c>
      <c r="E660" s="117"/>
      <c r="F660" s="117">
        <v>225</v>
      </c>
      <c r="G660" s="117">
        <v>750</v>
      </c>
      <c r="H660" s="123"/>
      <c r="I660" s="117" t="s">
        <v>122</v>
      </c>
      <c r="J660" s="115">
        <v>385</v>
      </c>
      <c r="K660" s="115" t="s">
        <v>23</v>
      </c>
      <c r="L660" s="117" t="s">
        <v>24</v>
      </c>
      <c r="M660" s="66">
        <v>215445</v>
      </c>
      <c r="N660" s="66">
        <v>3995</v>
      </c>
      <c r="O660" s="66">
        <v>83148</v>
      </c>
      <c r="P660" s="66">
        <v>327700</v>
      </c>
      <c r="Q660" s="67">
        <v>0.4</v>
      </c>
      <c r="R660" s="66">
        <v>131080</v>
      </c>
      <c r="S660" s="66">
        <v>458780</v>
      </c>
      <c r="T660" s="106">
        <f>IF(A660="Upgrade",IF(OR(H660=4,H660=5),_xlfn.XLOOKUP(I660,'Renewal Rates'!$A$22:$A$27,'Renewal Rates'!$B$22:$B$27,'Renewal Rates'!$B$27,0),'Renewal Rates'!$F$7),IF(A660="Renewal",100%,0%))</f>
        <v>2.6599999999999999E-2</v>
      </c>
      <c r="U660" s="68">
        <f t="shared" si="10"/>
        <v>12203.547999999999</v>
      </c>
    </row>
    <row r="661" spans="1:21" s="41" customFormat="1" ht="13.8" x14ac:dyDescent="0.3">
      <c r="A661" s="115" t="s">
        <v>21</v>
      </c>
      <c r="B661" s="116">
        <v>2000519928</v>
      </c>
      <c r="C661" s="116">
        <v>1.0169999999999999</v>
      </c>
      <c r="D661" s="117">
        <v>27.3</v>
      </c>
      <c r="E661" s="117"/>
      <c r="F661" s="117">
        <v>225</v>
      </c>
      <c r="G661" s="117">
        <v>750</v>
      </c>
      <c r="H661" s="123"/>
      <c r="I661" s="117" t="s">
        <v>122</v>
      </c>
      <c r="J661" s="115">
        <v>385</v>
      </c>
      <c r="K661" s="115" t="s">
        <v>23</v>
      </c>
      <c r="L661" s="117" t="s">
        <v>24</v>
      </c>
      <c r="M661" s="66">
        <v>110893</v>
      </c>
      <c r="N661" s="66">
        <v>4061</v>
      </c>
      <c r="O661" s="66">
        <v>42689</v>
      </c>
      <c r="P661" s="66">
        <v>168244</v>
      </c>
      <c r="Q661" s="67">
        <v>0.4</v>
      </c>
      <c r="R661" s="66">
        <v>67298</v>
      </c>
      <c r="S661" s="66">
        <v>235542</v>
      </c>
      <c r="T661" s="106">
        <f>IF(A661="Upgrade",IF(OR(H661=4,H661=5),_xlfn.XLOOKUP(I661,'Renewal Rates'!$A$22:$A$27,'Renewal Rates'!$B$22:$B$27,'Renewal Rates'!$B$27,0),'Renewal Rates'!$F$7),IF(A661="Renewal",100%,0%))</f>
        <v>2.6599999999999999E-2</v>
      </c>
      <c r="U661" s="68">
        <f t="shared" si="10"/>
        <v>6265.4171999999999</v>
      </c>
    </row>
    <row r="662" spans="1:21" s="41" customFormat="1" ht="13.8" x14ac:dyDescent="0.3">
      <c r="A662" s="115" t="s">
        <v>21</v>
      </c>
      <c r="B662" s="116">
        <v>2000063396</v>
      </c>
      <c r="C662" s="116">
        <v>1.0169999999999999</v>
      </c>
      <c r="D662" s="117">
        <v>28.8</v>
      </c>
      <c r="E662" s="117"/>
      <c r="F662" s="117">
        <v>225</v>
      </c>
      <c r="G662" s="117">
        <v>750</v>
      </c>
      <c r="H662" s="123"/>
      <c r="I662" s="117" t="s">
        <v>122</v>
      </c>
      <c r="J662" s="115">
        <v>385</v>
      </c>
      <c r="K662" s="115" t="s">
        <v>23</v>
      </c>
      <c r="L662" s="117" t="s">
        <v>24</v>
      </c>
      <c r="M662" s="66">
        <v>112445</v>
      </c>
      <c r="N662" s="66">
        <v>3905</v>
      </c>
      <c r="O662" s="66">
        <v>49983</v>
      </c>
      <c r="P662" s="66">
        <v>196994</v>
      </c>
      <c r="Q662" s="67">
        <v>0.4</v>
      </c>
      <c r="R662" s="66">
        <v>78798</v>
      </c>
      <c r="S662" s="66">
        <v>275791</v>
      </c>
      <c r="T662" s="106">
        <f>IF(A662="Upgrade",IF(OR(H662=4,H662=5),_xlfn.XLOOKUP(I662,'Renewal Rates'!$A$22:$A$27,'Renewal Rates'!$B$22:$B$27,'Renewal Rates'!$B$27,0),'Renewal Rates'!$F$7),IF(A662="Renewal",100%,0%))</f>
        <v>2.6599999999999999E-2</v>
      </c>
      <c r="U662" s="68">
        <f t="shared" si="10"/>
        <v>7336.0405999999994</v>
      </c>
    </row>
    <row r="663" spans="1:21" s="41" customFormat="1" ht="13.8" x14ac:dyDescent="0.3">
      <c r="A663" s="115" t="s">
        <v>25</v>
      </c>
      <c r="B663" s="116" t="s">
        <v>22</v>
      </c>
      <c r="C663" s="116">
        <v>1.01</v>
      </c>
      <c r="D663" s="117"/>
      <c r="E663" s="117">
        <v>78</v>
      </c>
      <c r="F663" s="117"/>
      <c r="G663" s="117">
        <v>600</v>
      </c>
      <c r="H663" s="123"/>
      <c r="I663" s="117" t="s">
        <v>122</v>
      </c>
      <c r="J663" s="115">
        <v>385</v>
      </c>
      <c r="K663" s="115" t="s">
        <v>23</v>
      </c>
      <c r="L663" s="117" t="s">
        <v>24</v>
      </c>
      <c r="M663" s="66">
        <v>217312</v>
      </c>
      <c r="N663" s="66">
        <v>2785</v>
      </c>
      <c r="O663" s="66">
        <v>88121</v>
      </c>
      <c r="P663" s="66">
        <v>347302</v>
      </c>
      <c r="Q663" s="67">
        <v>0.4</v>
      </c>
      <c r="R663" s="66">
        <v>138921</v>
      </c>
      <c r="S663" s="66">
        <v>486223</v>
      </c>
      <c r="T663" s="106">
        <f>IF(A663="Upgrade",IF(OR(H663=4,H663=5),_xlfn.XLOOKUP(I663,'Renewal Rates'!$A$22:$A$27,'Renewal Rates'!$B$22:$B$27,'Renewal Rates'!$B$27,0),'Renewal Rates'!$F$7),IF(A663="Renewal",100%,0%))</f>
        <v>0</v>
      </c>
      <c r="U663" s="68">
        <f t="shared" si="10"/>
        <v>0</v>
      </c>
    </row>
    <row r="664" spans="1:21" s="41" customFormat="1" ht="13.8" x14ac:dyDescent="0.3">
      <c r="A664" s="115" t="s">
        <v>21</v>
      </c>
      <c r="B664" s="116">
        <v>2000484758</v>
      </c>
      <c r="C664" s="116">
        <v>2.0150000000000001</v>
      </c>
      <c r="D664" s="117">
        <v>24.3</v>
      </c>
      <c r="E664" s="117"/>
      <c r="F664" s="117">
        <v>450</v>
      </c>
      <c r="G664" s="117">
        <v>675</v>
      </c>
      <c r="H664" s="123"/>
      <c r="I664" s="117" t="s">
        <v>122</v>
      </c>
      <c r="J664" s="115">
        <v>385</v>
      </c>
      <c r="K664" s="115" t="s">
        <v>23</v>
      </c>
      <c r="L664" s="117" t="s">
        <v>24</v>
      </c>
      <c r="M664" s="66">
        <v>141409</v>
      </c>
      <c r="N664" s="66">
        <v>5810</v>
      </c>
      <c r="O664" s="66">
        <v>48079</v>
      </c>
      <c r="P664" s="66">
        <v>189488</v>
      </c>
      <c r="Q664" s="67">
        <v>0.4</v>
      </c>
      <c r="R664" s="66">
        <v>75795</v>
      </c>
      <c r="S664" s="66">
        <v>265283</v>
      </c>
      <c r="T664" s="106">
        <f>IF(A664="Upgrade",IF(OR(H664=4,H664=5),_xlfn.XLOOKUP(I664,'Renewal Rates'!$A$22:$A$27,'Renewal Rates'!$B$22:$B$27,'Renewal Rates'!$B$27,0),'Renewal Rates'!$F$7),IF(A664="Renewal",100%,0%))</f>
        <v>2.6599999999999999E-2</v>
      </c>
      <c r="U664" s="68">
        <f t="shared" si="10"/>
        <v>7056.5277999999998</v>
      </c>
    </row>
    <row r="665" spans="1:21" s="41" customFormat="1" ht="13.8" x14ac:dyDescent="0.3">
      <c r="A665" s="115" t="s">
        <v>21</v>
      </c>
      <c r="B665" s="116">
        <v>2000442952</v>
      </c>
      <c r="C665" s="116">
        <v>2.0150000000000001</v>
      </c>
      <c r="D665" s="117">
        <v>74.099999999999994</v>
      </c>
      <c r="E665" s="117"/>
      <c r="F665" s="117">
        <v>450</v>
      </c>
      <c r="G665" s="117">
        <v>675</v>
      </c>
      <c r="H665" s="123"/>
      <c r="I665" s="117" t="s">
        <v>122</v>
      </c>
      <c r="J665" s="115">
        <v>385</v>
      </c>
      <c r="K665" s="115" t="s">
        <v>23</v>
      </c>
      <c r="L665" s="117" t="s">
        <v>24</v>
      </c>
      <c r="M665" s="66">
        <v>299675</v>
      </c>
      <c r="N665" s="66">
        <v>4045</v>
      </c>
      <c r="O665" s="66">
        <v>101890</v>
      </c>
      <c r="P665" s="66">
        <v>401565</v>
      </c>
      <c r="Q665" s="67">
        <v>0.4</v>
      </c>
      <c r="R665" s="66">
        <v>160626</v>
      </c>
      <c r="S665" s="66">
        <v>562191</v>
      </c>
      <c r="T665" s="106">
        <f>IF(A665="Upgrade",IF(OR(H665=4,H665=5),_xlfn.XLOOKUP(I665,'Renewal Rates'!$A$22:$A$27,'Renewal Rates'!$B$22:$B$27,'Renewal Rates'!$B$27,0),'Renewal Rates'!$F$7),IF(A665="Renewal",100%,0%))</f>
        <v>2.6599999999999999E-2</v>
      </c>
      <c r="U665" s="68">
        <f t="shared" si="10"/>
        <v>14954.2806</v>
      </c>
    </row>
    <row r="666" spans="1:21" s="41" customFormat="1" ht="13.8" x14ac:dyDescent="0.3">
      <c r="A666" s="115" t="s">
        <v>21</v>
      </c>
      <c r="B666" s="116">
        <v>2000874869</v>
      </c>
      <c r="C666" s="116">
        <v>2.0150000000000001</v>
      </c>
      <c r="D666" s="117">
        <v>20.100000000000001</v>
      </c>
      <c r="E666" s="117"/>
      <c r="F666" s="117">
        <v>225</v>
      </c>
      <c r="G666" s="117">
        <v>675</v>
      </c>
      <c r="H666" s="123"/>
      <c r="I666" s="117" t="s">
        <v>122</v>
      </c>
      <c r="J666" s="115">
        <v>385</v>
      </c>
      <c r="K666" s="115" t="s">
        <v>23</v>
      </c>
      <c r="L666" s="117" t="s">
        <v>24</v>
      </c>
      <c r="M666" s="66">
        <v>93556</v>
      </c>
      <c r="N666" s="66">
        <v>4644</v>
      </c>
      <c r="O666" s="66">
        <v>31809</v>
      </c>
      <c r="P666" s="66">
        <v>125365</v>
      </c>
      <c r="Q666" s="67">
        <v>0.4</v>
      </c>
      <c r="R666" s="66">
        <v>50146</v>
      </c>
      <c r="S666" s="66">
        <v>175511</v>
      </c>
      <c r="T666" s="106">
        <f>IF(A666="Upgrade",IF(OR(H666=4,H666=5),_xlfn.XLOOKUP(I666,'Renewal Rates'!$A$22:$A$27,'Renewal Rates'!$B$22:$B$27,'Renewal Rates'!$B$27,0),'Renewal Rates'!$F$7),IF(A666="Renewal",100%,0%))</f>
        <v>2.6599999999999999E-2</v>
      </c>
      <c r="U666" s="68">
        <f t="shared" si="10"/>
        <v>4668.5925999999999</v>
      </c>
    </row>
    <row r="667" spans="1:21" s="41" customFormat="1" ht="13.8" x14ac:dyDescent="0.3">
      <c r="A667" s="115" t="s">
        <v>21</v>
      </c>
      <c r="B667" s="116">
        <v>2000536595</v>
      </c>
      <c r="C667" s="116">
        <v>2.0150000000000001</v>
      </c>
      <c r="D667" s="117">
        <v>53.8</v>
      </c>
      <c r="E667" s="117"/>
      <c r="F667" s="117">
        <v>225</v>
      </c>
      <c r="G667" s="117">
        <v>675</v>
      </c>
      <c r="H667" s="123"/>
      <c r="I667" s="117" t="s">
        <v>122</v>
      </c>
      <c r="J667" s="115">
        <v>385</v>
      </c>
      <c r="K667" s="115" t="s">
        <v>23</v>
      </c>
      <c r="L667" s="117" t="s">
        <v>24</v>
      </c>
      <c r="M667" s="66">
        <v>236564</v>
      </c>
      <c r="N667" s="66">
        <v>4395</v>
      </c>
      <c r="O667" s="66">
        <v>80432</v>
      </c>
      <c r="P667" s="66">
        <v>316996</v>
      </c>
      <c r="Q667" s="67">
        <v>0.4</v>
      </c>
      <c r="R667" s="66">
        <v>126798</v>
      </c>
      <c r="S667" s="66">
        <v>443794</v>
      </c>
      <c r="T667" s="106">
        <f>IF(A667="Upgrade",IF(OR(H667=4,H667=5),_xlfn.XLOOKUP(I667,'Renewal Rates'!$A$22:$A$27,'Renewal Rates'!$B$22:$B$27,'Renewal Rates'!$B$27,0),'Renewal Rates'!$F$7),IF(A667="Renewal",100%,0%))</f>
        <v>2.6599999999999999E-2</v>
      </c>
      <c r="U667" s="68">
        <f t="shared" si="10"/>
        <v>11804.920399999999</v>
      </c>
    </row>
    <row r="668" spans="1:21" s="41" customFormat="1" ht="13.8" x14ac:dyDescent="0.3">
      <c r="A668" s="115" t="s">
        <v>21</v>
      </c>
      <c r="B668" s="116">
        <v>2000134287</v>
      </c>
      <c r="C668" s="116">
        <v>2.0150000000000001</v>
      </c>
      <c r="D668" s="117">
        <v>5.6</v>
      </c>
      <c r="E668" s="117"/>
      <c r="F668" s="117">
        <v>225</v>
      </c>
      <c r="G668" s="117">
        <v>675</v>
      </c>
      <c r="H668" s="123"/>
      <c r="I668" s="117" t="s">
        <v>122</v>
      </c>
      <c r="J668" s="115">
        <v>385</v>
      </c>
      <c r="K668" s="115" t="s">
        <v>23</v>
      </c>
      <c r="L668" s="117" t="s">
        <v>24</v>
      </c>
      <c r="M668" s="66">
        <v>56715</v>
      </c>
      <c r="N668" s="66">
        <v>10124</v>
      </c>
      <c r="O668" s="66">
        <v>19283</v>
      </c>
      <c r="P668" s="66">
        <v>75999</v>
      </c>
      <c r="Q668" s="67">
        <v>0.4</v>
      </c>
      <c r="R668" s="66">
        <v>30399</v>
      </c>
      <c r="S668" s="66">
        <v>106398</v>
      </c>
      <c r="T668" s="106">
        <f>IF(A668="Upgrade",IF(OR(H668=4,H668=5),_xlfn.XLOOKUP(I668,'Renewal Rates'!$A$22:$A$27,'Renewal Rates'!$B$22:$B$27,'Renewal Rates'!$B$27,0),'Renewal Rates'!$F$7),IF(A668="Renewal",100%,0%))</f>
        <v>2.6599999999999999E-2</v>
      </c>
      <c r="U668" s="68">
        <f t="shared" si="10"/>
        <v>2830.1867999999999</v>
      </c>
    </row>
    <row r="669" spans="1:21" s="41" customFormat="1" ht="13.8" x14ac:dyDescent="0.3">
      <c r="A669" s="115" t="s">
        <v>21</v>
      </c>
      <c r="B669" s="116">
        <v>2000972981</v>
      </c>
      <c r="C669" s="116">
        <v>2.0150000000000001</v>
      </c>
      <c r="D669" s="117">
        <v>7.1</v>
      </c>
      <c r="E669" s="117"/>
      <c r="F669" s="117">
        <v>225</v>
      </c>
      <c r="G669" s="117">
        <v>675</v>
      </c>
      <c r="H669" s="123"/>
      <c r="I669" s="117" t="s">
        <v>122</v>
      </c>
      <c r="J669" s="115">
        <v>385</v>
      </c>
      <c r="K669" s="115" t="s">
        <v>23</v>
      </c>
      <c r="L669" s="117" t="s">
        <v>24</v>
      </c>
      <c r="M669" s="66">
        <v>58534</v>
      </c>
      <c r="N669" s="66">
        <v>8219</v>
      </c>
      <c r="O669" s="66">
        <v>19902</v>
      </c>
      <c r="P669" s="66">
        <v>78436</v>
      </c>
      <c r="Q669" s="67">
        <v>0.4</v>
      </c>
      <c r="R669" s="66">
        <v>31374</v>
      </c>
      <c r="S669" s="66">
        <v>109811</v>
      </c>
      <c r="T669" s="106">
        <f>IF(A669="Upgrade",IF(OR(H669=4,H669=5),_xlfn.XLOOKUP(I669,'Renewal Rates'!$A$22:$A$27,'Renewal Rates'!$B$22:$B$27,'Renewal Rates'!$B$27,0),'Renewal Rates'!$F$7),IF(A669="Renewal",100%,0%))</f>
        <v>2.6599999999999999E-2</v>
      </c>
      <c r="U669" s="68">
        <f t="shared" si="10"/>
        <v>2920.9726000000001</v>
      </c>
    </row>
    <row r="670" spans="1:21" s="41" customFormat="1" ht="13.8" x14ac:dyDescent="0.3">
      <c r="A670" s="115" t="s">
        <v>21</v>
      </c>
      <c r="B670" s="116">
        <v>2000670809</v>
      </c>
      <c r="C670" s="116">
        <v>2.0150000000000001</v>
      </c>
      <c r="D670" s="117">
        <v>64.599999999999994</v>
      </c>
      <c r="E670" s="117"/>
      <c r="F670" s="117">
        <v>225</v>
      </c>
      <c r="G670" s="117">
        <v>675</v>
      </c>
      <c r="H670" s="123"/>
      <c r="I670" s="117" t="s">
        <v>122</v>
      </c>
      <c r="J670" s="115">
        <v>385</v>
      </c>
      <c r="K670" s="115" t="s">
        <v>23</v>
      </c>
      <c r="L670" s="117" t="s">
        <v>24</v>
      </c>
      <c r="M670" s="66">
        <v>268937</v>
      </c>
      <c r="N670" s="66">
        <v>4161</v>
      </c>
      <c r="O670" s="66">
        <v>91439</v>
      </c>
      <c r="P670" s="66">
        <v>360375</v>
      </c>
      <c r="Q670" s="67">
        <v>0.4</v>
      </c>
      <c r="R670" s="66">
        <v>144150</v>
      </c>
      <c r="S670" s="66">
        <v>504525</v>
      </c>
      <c r="T670" s="106">
        <f>IF(A670="Upgrade",IF(OR(H670=4,H670=5),_xlfn.XLOOKUP(I670,'Renewal Rates'!$A$22:$A$27,'Renewal Rates'!$B$22:$B$27,'Renewal Rates'!$B$27,0),'Renewal Rates'!$F$7),IF(A670="Renewal",100%,0%))</f>
        <v>2.6599999999999999E-2</v>
      </c>
      <c r="U670" s="68">
        <f t="shared" si="10"/>
        <v>13420.365</v>
      </c>
    </row>
    <row r="671" spans="1:21" s="41" customFormat="1" ht="13.8" x14ac:dyDescent="0.3">
      <c r="A671" s="115" t="s">
        <v>21</v>
      </c>
      <c r="B671" s="116">
        <v>2000222998</v>
      </c>
      <c r="C671" s="116">
        <v>2.0150000000000001</v>
      </c>
      <c r="D671" s="117">
        <v>10.7</v>
      </c>
      <c r="E671" s="117"/>
      <c r="F671" s="117">
        <v>225</v>
      </c>
      <c r="G671" s="117">
        <v>675</v>
      </c>
      <c r="H671" s="123"/>
      <c r="I671" s="117" t="s">
        <v>122</v>
      </c>
      <c r="J671" s="115">
        <v>385</v>
      </c>
      <c r="K671" s="115" t="s">
        <v>23</v>
      </c>
      <c r="L671" s="117" t="s">
        <v>24</v>
      </c>
      <c r="M671" s="66">
        <v>82261</v>
      </c>
      <c r="N671" s="66">
        <v>7683</v>
      </c>
      <c r="O671" s="66">
        <v>27969</v>
      </c>
      <c r="P671" s="66">
        <v>110230</v>
      </c>
      <c r="Q671" s="67">
        <v>0.4</v>
      </c>
      <c r="R671" s="66">
        <v>44092</v>
      </c>
      <c r="S671" s="66">
        <v>154323</v>
      </c>
      <c r="T671" s="106">
        <f>IF(A671="Upgrade",IF(OR(H671=4,H671=5),_xlfn.XLOOKUP(I671,'Renewal Rates'!$A$22:$A$27,'Renewal Rates'!$B$22:$B$27,'Renewal Rates'!$B$27,0),'Renewal Rates'!$F$7),IF(A671="Renewal",100%,0%))</f>
        <v>2.6599999999999999E-2</v>
      </c>
      <c r="U671" s="68">
        <f t="shared" si="10"/>
        <v>4104.9917999999998</v>
      </c>
    </row>
    <row r="672" spans="1:21" s="41" customFormat="1" ht="13.8" x14ac:dyDescent="0.3">
      <c r="A672" s="115" t="s">
        <v>25</v>
      </c>
      <c r="B672" s="116" t="s">
        <v>22</v>
      </c>
      <c r="C672" s="116">
        <v>2.048</v>
      </c>
      <c r="D672" s="117"/>
      <c r="E672" s="117">
        <v>73.099999999999994</v>
      </c>
      <c r="F672" s="117"/>
      <c r="G672" s="117">
        <v>450</v>
      </c>
      <c r="H672" s="123"/>
      <c r="I672" s="117" t="s">
        <v>122</v>
      </c>
      <c r="J672" s="115">
        <v>385</v>
      </c>
      <c r="K672" s="115" t="s">
        <v>23</v>
      </c>
      <c r="L672" s="117" t="s">
        <v>24</v>
      </c>
      <c r="M672" s="66">
        <v>213038</v>
      </c>
      <c r="N672" s="66">
        <v>2913</v>
      </c>
      <c r="O672" s="66">
        <v>72433</v>
      </c>
      <c r="P672" s="66">
        <v>285471</v>
      </c>
      <c r="Q672" s="67">
        <v>0.4</v>
      </c>
      <c r="R672" s="66">
        <v>114188</v>
      </c>
      <c r="S672" s="66">
        <v>399660</v>
      </c>
      <c r="T672" s="106">
        <f>IF(A672="Upgrade",IF(OR(H672=4,H672=5),_xlfn.XLOOKUP(I672,'Renewal Rates'!$A$22:$A$27,'Renewal Rates'!$B$22:$B$27,'Renewal Rates'!$B$27,0),'Renewal Rates'!$F$7),IF(A672="Renewal",100%,0%))</f>
        <v>0</v>
      </c>
      <c r="U672" s="68">
        <f t="shared" si="10"/>
        <v>0</v>
      </c>
    </row>
    <row r="673" spans="1:21" s="41" customFormat="1" ht="13.8" x14ac:dyDescent="0.3">
      <c r="A673" s="115" t="s">
        <v>25</v>
      </c>
      <c r="B673" s="116" t="s">
        <v>22</v>
      </c>
      <c r="C673" s="116">
        <v>2.0499999999999998</v>
      </c>
      <c r="D673" s="117"/>
      <c r="E673" s="117">
        <v>76.900000000000006</v>
      </c>
      <c r="F673" s="117"/>
      <c r="G673" s="117">
        <v>600</v>
      </c>
      <c r="H673" s="123"/>
      <c r="I673" s="117" t="s">
        <v>122</v>
      </c>
      <c r="J673" s="115">
        <v>385</v>
      </c>
      <c r="K673" s="115" t="s">
        <v>23</v>
      </c>
      <c r="L673" s="117" t="s">
        <v>24</v>
      </c>
      <c r="M673" s="66">
        <v>216498</v>
      </c>
      <c r="N673" s="66">
        <v>2815</v>
      </c>
      <c r="O673" s="66">
        <v>87726</v>
      </c>
      <c r="P673" s="66">
        <v>345743</v>
      </c>
      <c r="Q673" s="67">
        <v>0.4</v>
      </c>
      <c r="R673" s="66">
        <v>138297</v>
      </c>
      <c r="S673" s="66">
        <v>484040</v>
      </c>
      <c r="T673" s="106">
        <f>IF(A673="Upgrade",IF(OR(H673=4,H673=5),_xlfn.XLOOKUP(I673,'Renewal Rates'!$A$22:$A$27,'Renewal Rates'!$B$22:$B$27,'Renewal Rates'!$B$27,0),'Renewal Rates'!$F$7),IF(A673="Renewal",100%,0%))</f>
        <v>0</v>
      </c>
      <c r="U673" s="68">
        <f t="shared" si="10"/>
        <v>0</v>
      </c>
    </row>
    <row r="674" spans="1:21" s="41" customFormat="1" ht="13.8" x14ac:dyDescent="0.3">
      <c r="A674" s="115" t="s">
        <v>21</v>
      </c>
      <c r="B674" s="116">
        <v>3000186341</v>
      </c>
      <c r="C674" s="116">
        <v>2.0310000000000001</v>
      </c>
      <c r="D674" s="117">
        <v>21.3</v>
      </c>
      <c r="E674" s="117"/>
      <c r="F674" s="117">
        <v>450</v>
      </c>
      <c r="G674" s="117">
        <v>825</v>
      </c>
      <c r="H674" s="123"/>
      <c r="I674" s="117" t="s">
        <v>122</v>
      </c>
      <c r="J674" s="115">
        <v>385</v>
      </c>
      <c r="K674" s="115" t="s">
        <v>23</v>
      </c>
      <c r="L674" s="117" t="s">
        <v>24</v>
      </c>
      <c r="M674" s="66">
        <v>143845</v>
      </c>
      <c r="N674" s="66">
        <v>6747</v>
      </c>
      <c r="O674" s="66">
        <v>48907</v>
      </c>
      <c r="P674" s="66">
        <v>192753</v>
      </c>
      <c r="Q674" s="67">
        <v>0.4</v>
      </c>
      <c r="R674" s="66">
        <v>77101</v>
      </c>
      <c r="S674" s="66">
        <v>269854</v>
      </c>
      <c r="T674" s="106">
        <f>IF(A674="Upgrade",IF(OR(H674=4,H674=5),_xlfn.XLOOKUP(I674,'Renewal Rates'!$A$22:$A$27,'Renewal Rates'!$B$22:$B$27,'Renewal Rates'!$B$27,0),'Renewal Rates'!$F$7),IF(A674="Renewal",100%,0%))</f>
        <v>2.6599999999999999E-2</v>
      </c>
      <c r="U674" s="68">
        <f t="shared" si="10"/>
        <v>7178.1163999999999</v>
      </c>
    </row>
    <row r="675" spans="1:21" s="41" customFormat="1" ht="13.8" x14ac:dyDescent="0.3">
      <c r="A675" s="115" t="s">
        <v>21</v>
      </c>
      <c r="B675" s="116">
        <v>2000605256</v>
      </c>
      <c r="C675" s="116">
        <v>2.0310000000000001</v>
      </c>
      <c r="D675" s="117">
        <v>29</v>
      </c>
      <c r="E675" s="117"/>
      <c r="F675" s="117">
        <v>450</v>
      </c>
      <c r="G675" s="117">
        <v>825</v>
      </c>
      <c r="H675" s="123"/>
      <c r="I675" s="117" t="s">
        <v>122</v>
      </c>
      <c r="J675" s="115">
        <v>385</v>
      </c>
      <c r="K675" s="115" t="s">
        <v>23</v>
      </c>
      <c r="L675" s="117" t="s">
        <v>24</v>
      </c>
      <c r="M675" s="66">
        <v>151550</v>
      </c>
      <c r="N675" s="66">
        <v>5230</v>
      </c>
      <c r="O675" s="66">
        <v>51527</v>
      </c>
      <c r="P675" s="66">
        <v>203077</v>
      </c>
      <c r="Q675" s="67">
        <v>0.4</v>
      </c>
      <c r="R675" s="66">
        <v>81231</v>
      </c>
      <c r="S675" s="66">
        <v>284307</v>
      </c>
      <c r="T675" s="106">
        <f>IF(A675="Upgrade",IF(OR(H675=4,H675=5),_xlfn.XLOOKUP(I675,'Renewal Rates'!$A$22:$A$27,'Renewal Rates'!$B$22:$B$27,'Renewal Rates'!$B$27,0),'Renewal Rates'!$F$7),IF(A675="Renewal",100%,0%))</f>
        <v>2.6599999999999999E-2</v>
      </c>
      <c r="U675" s="68">
        <f t="shared" si="10"/>
        <v>7562.5661999999993</v>
      </c>
    </row>
    <row r="676" spans="1:21" s="41" customFormat="1" ht="13.8" x14ac:dyDescent="0.3">
      <c r="A676" s="115" t="s">
        <v>21</v>
      </c>
      <c r="B676" s="116">
        <v>2000033426</v>
      </c>
      <c r="C676" s="116">
        <v>2.0310000000000001</v>
      </c>
      <c r="D676" s="117">
        <v>81.599999999999994</v>
      </c>
      <c r="E676" s="117"/>
      <c r="F676" s="117">
        <v>450</v>
      </c>
      <c r="G676" s="117">
        <v>825</v>
      </c>
      <c r="H676" s="123">
        <v>4</v>
      </c>
      <c r="I676" s="117">
        <v>2</v>
      </c>
      <c r="J676" s="115">
        <v>385</v>
      </c>
      <c r="K676" s="115" t="s">
        <v>23</v>
      </c>
      <c r="L676" s="117" t="s">
        <v>24</v>
      </c>
      <c r="M676" s="66">
        <v>372340</v>
      </c>
      <c r="N676" s="66">
        <v>4565</v>
      </c>
      <c r="O676" s="66">
        <v>126596</v>
      </c>
      <c r="P676" s="66">
        <v>498936</v>
      </c>
      <c r="Q676" s="67">
        <v>0.4</v>
      </c>
      <c r="R676" s="66">
        <v>199574</v>
      </c>
      <c r="S676" s="66">
        <v>698510</v>
      </c>
      <c r="T676" s="106">
        <f>IF(A676="Upgrade",IF(OR(H676=4,H676=5),_xlfn.XLOOKUP(I676,'Renewal Rates'!$A$22:$A$27,'Renewal Rates'!$B$22:$B$27,'Renewal Rates'!$B$27,0),'Renewal Rates'!$F$7),IF(A676="Renewal",100%,0%))</f>
        <v>0</v>
      </c>
      <c r="U676" s="68">
        <f t="shared" si="10"/>
        <v>0</v>
      </c>
    </row>
    <row r="677" spans="1:21" s="41" customFormat="1" ht="13.8" x14ac:dyDescent="0.3">
      <c r="A677" s="115" t="s">
        <v>21</v>
      </c>
      <c r="B677" s="116">
        <v>2000014482</v>
      </c>
      <c r="C677" s="116">
        <v>2.06</v>
      </c>
      <c r="D677" s="117">
        <v>62.7</v>
      </c>
      <c r="E677" s="117"/>
      <c r="F677" s="117">
        <v>450</v>
      </c>
      <c r="G677" s="117">
        <v>825</v>
      </c>
      <c r="H677" s="123"/>
      <c r="I677" s="117" t="s">
        <v>122</v>
      </c>
      <c r="J677" s="115">
        <v>385</v>
      </c>
      <c r="K677" s="115" t="s">
        <v>23</v>
      </c>
      <c r="L677" s="117" t="s">
        <v>24</v>
      </c>
      <c r="M677" s="66">
        <v>304678</v>
      </c>
      <c r="N677" s="66">
        <v>4862</v>
      </c>
      <c r="O677" s="66">
        <v>103590</v>
      </c>
      <c r="P677" s="66">
        <v>408268</v>
      </c>
      <c r="Q677" s="67">
        <v>0.4</v>
      </c>
      <c r="R677" s="66">
        <v>163307</v>
      </c>
      <c r="S677" s="66">
        <v>571576</v>
      </c>
      <c r="T677" s="106">
        <f>IF(A677="Upgrade",IF(OR(H677=4,H677=5),_xlfn.XLOOKUP(I677,'Renewal Rates'!$A$22:$A$27,'Renewal Rates'!$B$22:$B$27,'Renewal Rates'!$B$27,0),'Renewal Rates'!$F$7),IF(A677="Renewal",100%,0%))</f>
        <v>2.6599999999999999E-2</v>
      </c>
      <c r="U677" s="68">
        <f t="shared" si="10"/>
        <v>15203.9216</v>
      </c>
    </row>
    <row r="678" spans="1:21" s="41" customFormat="1" ht="13.8" x14ac:dyDescent="0.3">
      <c r="A678" s="115" t="s">
        <v>21</v>
      </c>
      <c r="B678" s="116">
        <v>2000074123</v>
      </c>
      <c r="C678" s="116">
        <v>2.06</v>
      </c>
      <c r="D678" s="117">
        <v>54.4</v>
      </c>
      <c r="E678" s="117"/>
      <c r="F678" s="117">
        <v>300</v>
      </c>
      <c r="G678" s="117">
        <v>825</v>
      </c>
      <c r="H678" s="123">
        <v>4</v>
      </c>
      <c r="I678" s="117">
        <v>3</v>
      </c>
      <c r="J678" s="115">
        <v>385</v>
      </c>
      <c r="K678" s="115" t="s">
        <v>23</v>
      </c>
      <c r="L678" s="117" t="s">
        <v>24</v>
      </c>
      <c r="M678" s="66">
        <v>272588</v>
      </c>
      <c r="N678" s="66">
        <v>5014</v>
      </c>
      <c r="O678" s="66">
        <v>92680</v>
      </c>
      <c r="P678" s="66">
        <v>365268</v>
      </c>
      <c r="Q678" s="67">
        <v>0.4</v>
      </c>
      <c r="R678" s="66">
        <v>146107</v>
      </c>
      <c r="S678" s="66">
        <v>511376</v>
      </c>
      <c r="T678" s="106">
        <f>IF(A678="Upgrade",IF(OR(H678=4,H678=5),_xlfn.XLOOKUP(I678,'Renewal Rates'!$A$22:$A$27,'Renewal Rates'!$B$22:$B$27,'Renewal Rates'!$B$27,0),'Renewal Rates'!$F$7),IF(A678="Renewal",100%,0%))</f>
        <v>0.21</v>
      </c>
      <c r="U678" s="68">
        <f t="shared" ref="U678:U741" si="11">S678*T678</f>
        <v>107388.95999999999</v>
      </c>
    </row>
    <row r="679" spans="1:21" s="41" customFormat="1" ht="13.8" x14ac:dyDescent="0.3">
      <c r="A679" s="115" t="s">
        <v>21</v>
      </c>
      <c r="B679" s="116">
        <v>2000261028</v>
      </c>
      <c r="C679" s="116">
        <v>2.0590000000000002</v>
      </c>
      <c r="D679" s="117">
        <v>85.3</v>
      </c>
      <c r="E679" s="117"/>
      <c r="F679" s="117">
        <v>300</v>
      </c>
      <c r="G679" s="117">
        <v>750</v>
      </c>
      <c r="H679" s="123"/>
      <c r="I679" s="117" t="s">
        <v>122</v>
      </c>
      <c r="J679" s="115">
        <v>385</v>
      </c>
      <c r="K679" s="115" t="s">
        <v>23</v>
      </c>
      <c r="L679" s="117" t="s">
        <v>24</v>
      </c>
      <c r="M679" s="66">
        <v>345538</v>
      </c>
      <c r="N679" s="66">
        <v>4050</v>
      </c>
      <c r="O679" s="66">
        <v>117483</v>
      </c>
      <c r="P679" s="66">
        <v>463020</v>
      </c>
      <c r="Q679" s="67">
        <v>0.4</v>
      </c>
      <c r="R679" s="66">
        <v>185208</v>
      </c>
      <c r="S679" s="66">
        <v>648228</v>
      </c>
      <c r="T679" s="106">
        <f>IF(A679="Upgrade",IF(OR(H679=4,H679=5),_xlfn.XLOOKUP(I679,'Renewal Rates'!$A$22:$A$27,'Renewal Rates'!$B$22:$B$27,'Renewal Rates'!$B$27,0),'Renewal Rates'!$F$7),IF(A679="Renewal",100%,0%))</f>
        <v>2.6599999999999999E-2</v>
      </c>
      <c r="U679" s="68">
        <f t="shared" si="11"/>
        <v>17242.864799999999</v>
      </c>
    </row>
    <row r="680" spans="1:21" s="41" customFormat="1" ht="13.8" x14ac:dyDescent="0.3">
      <c r="A680" s="115" t="s">
        <v>21</v>
      </c>
      <c r="B680" s="116">
        <v>2000297254</v>
      </c>
      <c r="C680" s="116">
        <v>2.0579999999999998</v>
      </c>
      <c r="D680" s="117">
        <v>18.399999999999999</v>
      </c>
      <c r="E680" s="117"/>
      <c r="F680" s="117">
        <v>300</v>
      </c>
      <c r="G680" s="117">
        <v>600</v>
      </c>
      <c r="H680" s="123"/>
      <c r="I680" s="117" t="s">
        <v>122</v>
      </c>
      <c r="J680" s="115">
        <v>385</v>
      </c>
      <c r="K680" s="115" t="s">
        <v>23</v>
      </c>
      <c r="L680" s="117" t="s">
        <v>24</v>
      </c>
      <c r="M680" s="66">
        <v>81953</v>
      </c>
      <c r="N680" s="66">
        <v>4448</v>
      </c>
      <c r="O680" s="66">
        <v>27864</v>
      </c>
      <c r="P680" s="66">
        <v>109817</v>
      </c>
      <c r="Q680" s="67">
        <v>0.4</v>
      </c>
      <c r="R680" s="66">
        <v>43927</v>
      </c>
      <c r="S680" s="66">
        <v>153743</v>
      </c>
      <c r="T680" s="106">
        <f>IF(A680="Upgrade",IF(OR(H680=4,H680=5),_xlfn.XLOOKUP(I680,'Renewal Rates'!$A$22:$A$27,'Renewal Rates'!$B$22:$B$27,'Renewal Rates'!$B$27,0),'Renewal Rates'!$F$7),IF(A680="Renewal",100%,0%))</f>
        <v>2.6599999999999999E-2</v>
      </c>
      <c r="U680" s="68">
        <f t="shared" si="11"/>
        <v>4089.5637999999999</v>
      </c>
    </row>
    <row r="681" spans="1:21" s="41" customFormat="1" ht="13.8" x14ac:dyDescent="0.3">
      <c r="A681" s="115" t="s">
        <v>21</v>
      </c>
      <c r="B681" s="116">
        <v>2000030487</v>
      </c>
      <c r="C681" s="116">
        <v>2.0579999999999998</v>
      </c>
      <c r="D681" s="117">
        <v>61.5</v>
      </c>
      <c r="E681" s="117"/>
      <c r="F681" s="117">
        <v>300</v>
      </c>
      <c r="G681" s="117">
        <v>600</v>
      </c>
      <c r="H681" s="123"/>
      <c r="I681" s="117" t="s">
        <v>122</v>
      </c>
      <c r="J681" s="115">
        <v>385</v>
      </c>
      <c r="K681" s="115" t="s">
        <v>23</v>
      </c>
      <c r="L681" s="117" t="s">
        <v>24</v>
      </c>
      <c r="M681" s="66">
        <v>222618</v>
      </c>
      <c r="N681" s="66">
        <v>3622</v>
      </c>
      <c r="O681" s="66">
        <v>75690</v>
      </c>
      <c r="P681" s="66">
        <v>298309</v>
      </c>
      <c r="Q681" s="67">
        <v>0.4</v>
      </c>
      <c r="R681" s="66">
        <v>119323</v>
      </c>
      <c r="S681" s="66">
        <v>417632</v>
      </c>
      <c r="T681" s="106">
        <f>IF(A681="Upgrade",IF(OR(H681=4,H681=5),_xlfn.XLOOKUP(I681,'Renewal Rates'!$A$22:$A$27,'Renewal Rates'!$B$22:$B$27,'Renewal Rates'!$B$27,0),'Renewal Rates'!$F$7),IF(A681="Renewal",100%,0%))</f>
        <v>2.6599999999999999E-2</v>
      </c>
      <c r="U681" s="68">
        <f t="shared" si="11"/>
        <v>11109.011199999999</v>
      </c>
    </row>
    <row r="682" spans="1:21" s="41" customFormat="1" ht="13.8" x14ac:dyDescent="0.3">
      <c r="A682" s="115" t="s">
        <v>25</v>
      </c>
      <c r="B682" s="116" t="s">
        <v>22</v>
      </c>
      <c r="C682" s="116">
        <v>2.0489999999999999</v>
      </c>
      <c r="D682" s="117"/>
      <c r="E682" s="117">
        <v>112.9</v>
      </c>
      <c r="F682" s="117"/>
      <c r="G682" s="117">
        <v>525</v>
      </c>
      <c r="H682" s="123"/>
      <c r="I682" s="117" t="s">
        <v>122</v>
      </c>
      <c r="J682" s="115">
        <v>385</v>
      </c>
      <c r="K682" s="115" t="s">
        <v>23</v>
      </c>
      <c r="L682" s="117" t="s">
        <v>24</v>
      </c>
      <c r="M682" s="66">
        <v>335713</v>
      </c>
      <c r="N682" s="66">
        <v>2974</v>
      </c>
      <c r="O682" s="66">
        <v>114143</v>
      </c>
      <c r="P682" s="66">
        <v>449856</v>
      </c>
      <c r="Q682" s="67">
        <v>0.4</v>
      </c>
      <c r="R682" s="66">
        <v>179942</v>
      </c>
      <c r="S682" s="66">
        <v>629799</v>
      </c>
      <c r="T682" s="106">
        <f>IF(A682="Upgrade",IF(OR(H682=4,H682=5),_xlfn.XLOOKUP(I682,'Renewal Rates'!$A$22:$A$27,'Renewal Rates'!$B$22:$B$27,'Renewal Rates'!$B$27,0),'Renewal Rates'!$F$7),IF(A682="Renewal",100%,0%))</f>
        <v>0</v>
      </c>
      <c r="U682" s="68">
        <f t="shared" si="11"/>
        <v>0</v>
      </c>
    </row>
    <row r="683" spans="1:21" s="41" customFormat="1" ht="13.8" x14ac:dyDescent="0.3">
      <c r="A683" s="115" t="s">
        <v>21</v>
      </c>
      <c r="B683" s="116">
        <v>2000219616</v>
      </c>
      <c r="C683" s="116">
        <v>2.0129999999999999</v>
      </c>
      <c r="D683" s="117">
        <v>5.0999999999999996</v>
      </c>
      <c r="E683" s="117"/>
      <c r="F683" s="117">
        <v>225</v>
      </c>
      <c r="G683" s="117">
        <v>750</v>
      </c>
      <c r="H683" s="123"/>
      <c r="I683" s="117" t="s">
        <v>122</v>
      </c>
      <c r="J683" s="115">
        <v>385</v>
      </c>
      <c r="K683" s="115" t="s">
        <v>23</v>
      </c>
      <c r="L683" s="117" t="s">
        <v>24</v>
      </c>
      <c r="M683" s="66">
        <v>79825</v>
      </c>
      <c r="N683" s="66">
        <v>15781</v>
      </c>
      <c r="O683" s="66">
        <v>27140</v>
      </c>
      <c r="P683" s="66">
        <v>106965</v>
      </c>
      <c r="Q683" s="67">
        <v>0.4</v>
      </c>
      <c r="R683" s="66">
        <v>42786</v>
      </c>
      <c r="S683" s="66">
        <v>149751</v>
      </c>
      <c r="T683" s="106">
        <f>IF(A683="Upgrade",IF(OR(H683=4,H683=5),_xlfn.XLOOKUP(I683,'Renewal Rates'!$A$22:$A$27,'Renewal Rates'!$B$22:$B$27,'Renewal Rates'!$B$27,0),'Renewal Rates'!$F$7),IF(A683="Renewal",100%,0%))</f>
        <v>2.6599999999999999E-2</v>
      </c>
      <c r="U683" s="68">
        <f t="shared" si="11"/>
        <v>3983.3765999999996</v>
      </c>
    </row>
    <row r="684" spans="1:21" s="41" customFormat="1" ht="13.8" x14ac:dyDescent="0.3">
      <c r="A684" s="115" t="s">
        <v>21</v>
      </c>
      <c r="B684" s="116">
        <v>3000184635</v>
      </c>
      <c r="C684" s="116">
        <v>2.0129999999999999</v>
      </c>
      <c r="D684" s="117">
        <v>8</v>
      </c>
      <c r="E684" s="117"/>
      <c r="F684" s="117">
        <v>225</v>
      </c>
      <c r="G684" s="117">
        <v>750</v>
      </c>
      <c r="H684" s="123"/>
      <c r="I684" s="117" t="s">
        <v>122</v>
      </c>
      <c r="J684" s="115">
        <v>385</v>
      </c>
      <c r="K684" s="115" t="s">
        <v>23</v>
      </c>
      <c r="L684" s="117" t="s">
        <v>24</v>
      </c>
      <c r="M684" s="66">
        <v>60440</v>
      </c>
      <c r="N684" s="66">
        <v>7544</v>
      </c>
      <c r="O684" s="66">
        <v>20550</v>
      </c>
      <c r="P684" s="66">
        <v>80990</v>
      </c>
      <c r="Q684" s="67">
        <v>0.4</v>
      </c>
      <c r="R684" s="66">
        <v>32396</v>
      </c>
      <c r="S684" s="66">
        <v>113386</v>
      </c>
      <c r="T684" s="106">
        <f>IF(A684="Upgrade",IF(OR(H684=4,H684=5),_xlfn.XLOOKUP(I684,'Renewal Rates'!$A$22:$A$27,'Renewal Rates'!$B$22:$B$27,'Renewal Rates'!$B$27,0),'Renewal Rates'!$F$7),IF(A684="Renewal",100%,0%))</f>
        <v>2.6599999999999999E-2</v>
      </c>
      <c r="U684" s="68">
        <f t="shared" si="11"/>
        <v>3016.0675999999999</v>
      </c>
    </row>
    <row r="685" spans="1:21" s="41" customFormat="1" ht="13.8" x14ac:dyDescent="0.3">
      <c r="A685" s="115" t="s">
        <v>21</v>
      </c>
      <c r="B685" s="116">
        <v>3000184637</v>
      </c>
      <c r="C685" s="116">
        <v>2.0129999999999999</v>
      </c>
      <c r="D685" s="117">
        <v>2.2999999999999998</v>
      </c>
      <c r="E685" s="117"/>
      <c r="F685" s="117">
        <v>225</v>
      </c>
      <c r="G685" s="117">
        <v>750</v>
      </c>
      <c r="H685" s="123"/>
      <c r="I685" s="117" t="s">
        <v>122</v>
      </c>
      <c r="J685" s="115">
        <v>385</v>
      </c>
      <c r="K685" s="115" t="s">
        <v>23</v>
      </c>
      <c r="L685" s="117" t="s">
        <v>24</v>
      </c>
      <c r="M685" s="66">
        <v>29226</v>
      </c>
      <c r="N685" s="66">
        <v>12906</v>
      </c>
      <c r="O685" s="66">
        <v>9937</v>
      </c>
      <c r="P685" s="66">
        <v>39163</v>
      </c>
      <c r="Q685" s="67">
        <v>0.4</v>
      </c>
      <c r="R685" s="66">
        <v>15665</v>
      </c>
      <c r="S685" s="66">
        <v>54828</v>
      </c>
      <c r="T685" s="106">
        <f>IF(A685="Upgrade",IF(OR(H685=4,H685=5),_xlfn.XLOOKUP(I685,'Renewal Rates'!$A$22:$A$27,'Renewal Rates'!$B$22:$B$27,'Renewal Rates'!$B$27,0),'Renewal Rates'!$F$7),IF(A685="Renewal",100%,0%))</f>
        <v>2.6599999999999999E-2</v>
      </c>
      <c r="U685" s="68">
        <f t="shared" si="11"/>
        <v>1458.4248</v>
      </c>
    </row>
    <row r="686" spans="1:21" s="41" customFormat="1" ht="13.8" x14ac:dyDescent="0.3">
      <c r="A686" s="115" t="s">
        <v>21</v>
      </c>
      <c r="B686" s="116">
        <v>2000567397</v>
      </c>
      <c r="C686" s="116">
        <v>2.0129999999999999</v>
      </c>
      <c r="D686" s="117">
        <v>58.1</v>
      </c>
      <c r="E686" s="117"/>
      <c r="F686" s="117">
        <v>225</v>
      </c>
      <c r="G686" s="117">
        <v>750</v>
      </c>
      <c r="H686" s="123"/>
      <c r="I686" s="117" t="s">
        <v>122</v>
      </c>
      <c r="J686" s="115">
        <v>385</v>
      </c>
      <c r="K686" s="115" t="s">
        <v>23</v>
      </c>
      <c r="L686" s="117" t="s">
        <v>24</v>
      </c>
      <c r="M686" s="66">
        <v>269630</v>
      </c>
      <c r="N686" s="66">
        <v>4643</v>
      </c>
      <c r="O686" s="66">
        <v>91674</v>
      </c>
      <c r="P686" s="66">
        <v>361304</v>
      </c>
      <c r="Q686" s="67">
        <v>0.4</v>
      </c>
      <c r="R686" s="66">
        <v>144522</v>
      </c>
      <c r="S686" s="66">
        <v>505826</v>
      </c>
      <c r="T686" s="106">
        <f>IF(A686="Upgrade",IF(OR(H686=4,H686=5),_xlfn.XLOOKUP(I686,'Renewal Rates'!$A$22:$A$27,'Renewal Rates'!$B$22:$B$27,'Renewal Rates'!$B$27,0),'Renewal Rates'!$F$7),IF(A686="Renewal",100%,0%))</f>
        <v>2.6599999999999999E-2</v>
      </c>
      <c r="U686" s="68">
        <f t="shared" si="11"/>
        <v>13454.971599999999</v>
      </c>
    </row>
    <row r="687" spans="1:21" s="41" customFormat="1" ht="13.8" x14ac:dyDescent="0.3">
      <c r="A687" s="115" t="s">
        <v>21</v>
      </c>
      <c r="B687" s="116">
        <v>2000220933</v>
      </c>
      <c r="C687" s="116">
        <v>2.0129999999999999</v>
      </c>
      <c r="D687" s="117">
        <v>63.1</v>
      </c>
      <c r="E687" s="117"/>
      <c r="F687" s="117">
        <v>225</v>
      </c>
      <c r="G687" s="117">
        <v>750</v>
      </c>
      <c r="H687" s="123"/>
      <c r="I687" s="117" t="s">
        <v>122</v>
      </c>
      <c r="J687" s="115">
        <v>385</v>
      </c>
      <c r="K687" s="115" t="s">
        <v>23</v>
      </c>
      <c r="L687" s="117" t="s">
        <v>24</v>
      </c>
      <c r="M687" s="66">
        <v>276411</v>
      </c>
      <c r="N687" s="66">
        <v>4383</v>
      </c>
      <c r="O687" s="66">
        <v>93980</v>
      </c>
      <c r="P687" s="66">
        <v>370390</v>
      </c>
      <c r="Q687" s="67">
        <v>0.4</v>
      </c>
      <c r="R687" s="66">
        <v>148156</v>
      </c>
      <c r="S687" s="66">
        <v>518546</v>
      </c>
      <c r="T687" s="106">
        <f>IF(A687="Upgrade",IF(OR(H687=4,H687=5),_xlfn.XLOOKUP(I687,'Renewal Rates'!$A$22:$A$27,'Renewal Rates'!$B$22:$B$27,'Renewal Rates'!$B$27,0),'Renewal Rates'!$F$7),IF(A687="Renewal",100%,0%))</f>
        <v>2.6599999999999999E-2</v>
      </c>
      <c r="U687" s="68">
        <f t="shared" si="11"/>
        <v>13793.3236</v>
      </c>
    </row>
    <row r="688" spans="1:21" s="41" customFormat="1" ht="13.8" x14ac:dyDescent="0.3">
      <c r="A688" s="115" t="s">
        <v>21</v>
      </c>
      <c r="B688" s="116">
        <v>3000149484</v>
      </c>
      <c r="C688" s="116">
        <v>2.0129999999999999</v>
      </c>
      <c r="D688" s="117">
        <v>41.1</v>
      </c>
      <c r="E688" s="117"/>
      <c r="F688" s="117">
        <v>225</v>
      </c>
      <c r="G688" s="117">
        <v>750</v>
      </c>
      <c r="H688" s="123"/>
      <c r="I688" s="117" t="s">
        <v>122</v>
      </c>
      <c r="J688" s="115">
        <v>385</v>
      </c>
      <c r="K688" s="115" t="s">
        <v>23</v>
      </c>
      <c r="L688" s="117" t="s">
        <v>24</v>
      </c>
      <c r="M688" s="66">
        <v>183151</v>
      </c>
      <c r="N688" s="66">
        <v>4459</v>
      </c>
      <c r="O688" s="66">
        <v>62271</v>
      </c>
      <c r="P688" s="66">
        <v>245422</v>
      </c>
      <c r="Q688" s="67">
        <v>0.4</v>
      </c>
      <c r="R688" s="66">
        <v>98169</v>
      </c>
      <c r="S688" s="66">
        <v>343590</v>
      </c>
      <c r="T688" s="106">
        <f>IF(A688="Upgrade",IF(OR(H688=4,H688=5),_xlfn.XLOOKUP(I688,'Renewal Rates'!$A$22:$A$27,'Renewal Rates'!$B$22:$B$27,'Renewal Rates'!$B$27,0),'Renewal Rates'!$F$7),IF(A688="Renewal",100%,0%))</f>
        <v>2.6599999999999999E-2</v>
      </c>
      <c r="U688" s="68">
        <f t="shared" si="11"/>
        <v>9139.4939999999988</v>
      </c>
    </row>
    <row r="689" spans="1:21" s="41" customFormat="1" ht="13.8" x14ac:dyDescent="0.3">
      <c r="A689" s="115" t="s">
        <v>21</v>
      </c>
      <c r="B689" s="116">
        <v>2000386034</v>
      </c>
      <c r="C689" s="116">
        <v>2.0129999999999999</v>
      </c>
      <c r="D689" s="117">
        <v>49.3</v>
      </c>
      <c r="E689" s="117"/>
      <c r="F689" s="117">
        <v>225</v>
      </c>
      <c r="G689" s="117">
        <v>750</v>
      </c>
      <c r="H689" s="123"/>
      <c r="I689" s="117" t="s">
        <v>122</v>
      </c>
      <c r="J689" s="115">
        <v>385</v>
      </c>
      <c r="K689" s="115" t="s">
        <v>23</v>
      </c>
      <c r="L689" s="117" t="s">
        <v>24</v>
      </c>
      <c r="M689" s="66">
        <v>213741</v>
      </c>
      <c r="N689" s="66">
        <v>4337</v>
      </c>
      <c r="O689" s="66">
        <v>72672</v>
      </c>
      <c r="P689" s="66">
        <v>286413</v>
      </c>
      <c r="Q689" s="67">
        <v>0.4</v>
      </c>
      <c r="R689" s="66">
        <v>114565</v>
      </c>
      <c r="S689" s="66">
        <v>400978</v>
      </c>
      <c r="T689" s="106">
        <f>IF(A689="Upgrade",IF(OR(H689=4,H689=5),_xlfn.XLOOKUP(I689,'Renewal Rates'!$A$22:$A$27,'Renewal Rates'!$B$22:$B$27,'Renewal Rates'!$B$27,0),'Renewal Rates'!$F$7),IF(A689="Renewal",100%,0%))</f>
        <v>2.6599999999999999E-2</v>
      </c>
      <c r="U689" s="68">
        <f t="shared" si="11"/>
        <v>10666.014799999999</v>
      </c>
    </row>
    <row r="690" spans="1:21" s="41" customFormat="1" ht="13.8" x14ac:dyDescent="0.3">
      <c r="A690" s="115" t="s">
        <v>21</v>
      </c>
      <c r="B690" s="116">
        <v>2000292132</v>
      </c>
      <c r="C690" s="116">
        <v>2.0129999999999999</v>
      </c>
      <c r="D690" s="117">
        <v>71.3</v>
      </c>
      <c r="E690" s="117"/>
      <c r="F690" s="117">
        <v>150</v>
      </c>
      <c r="G690" s="117">
        <v>750</v>
      </c>
      <c r="H690" s="123"/>
      <c r="I690" s="117" t="s">
        <v>122</v>
      </c>
      <c r="J690" s="115">
        <v>385</v>
      </c>
      <c r="K690" s="115" t="s">
        <v>23</v>
      </c>
      <c r="L690" s="117" t="s">
        <v>24</v>
      </c>
      <c r="M690" s="66">
        <v>307070</v>
      </c>
      <c r="N690" s="66">
        <v>4306</v>
      </c>
      <c r="O690" s="66">
        <v>104404</v>
      </c>
      <c r="P690" s="66">
        <v>411473</v>
      </c>
      <c r="Q690" s="67">
        <v>0.4</v>
      </c>
      <c r="R690" s="66">
        <v>164589</v>
      </c>
      <c r="S690" s="66">
        <v>576063</v>
      </c>
      <c r="T690" s="106">
        <f>IF(A690="Upgrade",IF(OR(H690=4,H690=5),_xlfn.XLOOKUP(I690,'Renewal Rates'!$A$22:$A$27,'Renewal Rates'!$B$22:$B$27,'Renewal Rates'!$B$27,0),'Renewal Rates'!$F$7),IF(A690="Renewal",100%,0%))</f>
        <v>2.6599999999999999E-2</v>
      </c>
      <c r="U690" s="68">
        <f t="shared" si="11"/>
        <v>15323.275799999999</v>
      </c>
    </row>
    <row r="691" spans="1:21" s="41" customFormat="1" ht="13.8" x14ac:dyDescent="0.3">
      <c r="A691" s="115" t="s">
        <v>21</v>
      </c>
      <c r="B691" s="116">
        <v>2000071755</v>
      </c>
      <c r="C691" s="116">
        <v>2.0129999999999999</v>
      </c>
      <c r="D691" s="117">
        <v>12.8</v>
      </c>
      <c r="E691" s="117">
        <v>0</v>
      </c>
      <c r="F691" s="117">
        <v>225</v>
      </c>
      <c r="G691" s="117">
        <v>750</v>
      </c>
      <c r="H691" s="123"/>
      <c r="I691" s="117" t="s">
        <v>122</v>
      </c>
      <c r="J691" s="115">
        <v>385</v>
      </c>
      <c r="K691" s="115" t="s">
        <v>23</v>
      </c>
      <c r="L691" s="117" t="s">
        <v>24</v>
      </c>
      <c r="M691" s="66">
        <v>86361</v>
      </c>
      <c r="N691" s="66">
        <v>6758</v>
      </c>
      <c r="O691" s="66">
        <v>29363</v>
      </c>
      <c r="P691" s="66">
        <v>115724</v>
      </c>
      <c r="Q691" s="67">
        <v>0.4</v>
      </c>
      <c r="R691" s="66">
        <v>46290</v>
      </c>
      <c r="S691" s="66">
        <v>162014</v>
      </c>
      <c r="T691" s="106">
        <f>IF(A691="Upgrade",IF(OR(H691=4,H691=5),_xlfn.XLOOKUP(I691,'Renewal Rates'!$A$22:$A$27,'Renewal Rates'!$B$22:$B$27,'Renewal Rates'!$B$27,0),'Renewal Rates'!$F$7),IF(A691="Renewal",100%,0%))</f>
        <v>2.6599999999999999E-2</v>
      </c>
      <c r="U691" s="68">
        <f t="shared" si="11"/>
        <v>4309.5724</v>
      </c>
    </row>
    <row r="692" spans="1:21" s="41" customFormat="1" ht="13.8" x14ac:dyDescent="0.3">
      <c r="A692" s="115" t="s">
        <v>25</v>
      </c>
      <c r="B692" s="116" t="s">
        <v>22</v>
      </c>
      <c r="C692" s="116">
        <v>2.0470000000000002</v>
      </c>
      <c r="D692" s="117"/>
      <c r="E692" s="117">
        <v>65.5</v>
      </c>
      <c r="F692" s="117"/>
      <c r="G692" s="117">
        <v>525</v>
      </c>
      <c r="H692" s="123"/>
      <c r="I692" s="117" t="s">
        <v>122</v>
      </c>
      <c r="J692" s="115">
        <v>385</v>
      </c>
      <c r="K692" s="115" t="s">
        <v>23</v>
      </c>
      <c r="L692" s="117" t="s">
        <v>24</v>
      </c>
      <c r="M692" s="66">
        <v>217185</v>
      </c>
      <c r="N692" s="66">
        <v>3315</v>
      </c>
      <c r="O692" s="66">
        <v>73843</v>
      </c>
      <c r="P692" s="66">
        <v>291028</v>
      </c>
      <c r="Q692" s="67">
        <v>0.4</v>
      </c>
      <c r="R692" s="66">
        <v>116411</v>
      </c>
      <c r="S692" s="66">
        <v>407439</v>
      </c>
      <c r="T692" s="106">
        <f>IF(A692="Upgrade",IF(OR(H692=4,H692=5),_xlfn.XLOOKUP(I692,'Renewal Rates'!$A$22:$A$27,'Renewal Rates'!$B$22:$B$27,'Renewal Rates'!$B$27,0),'Renewal Rates'!$F$7),IF(A692="Renewal",100%,0%))</f>
        <v>0</v>
      </c>
      <c r="U692" s="68">
        <f t="shared" si="11"/>
        <v>0</v>
      </c>
    </row>
    <row r="693" spans="1:21" s="41" customFormat="1" ht="13.8" x14ac:dyDescent="0.3">
      <c r="A693" s="115" t="s">
        <v>25</v>
      </c>
      <c r="B693" s="116" t="s">
        <v>22</v>
      </c>
      <c r="C693" s="116">
        <v>2.0139999999999998</v>
      </c>
      <c r="D693" s="117"/>
      <c r="E693" s="117">
        <v>171.1</v>
      </c>
      <c r="F693" s="117"/>
      <c r="G693" s="117">
        <v>675</v>
      </c>
      <c r="H693" s="123"/>
      <c r="I693" s="117" t="s">
        <v>122</v>
      </c>
      <c r="J693" s="115">
        <v>385</v>
      </c>
      <c r="K693" s="115" t="s">
        <v>23</v>
      </c>
      <c r="L693" s="117" t="s">
        <v>24</v>
      </c>
      <c r="M693" s="66">
        <v>540245</v>
      </c>
      <c r="N693" s="66">
        <v>3158</v>
      </c>
      <c r="O693" s="66">
        <v>183683</v>
      </c>
      <c r="P693" s="66">
        <v>723928</v>
      </c>
      <c r="Q693" s="67">
        <v>0.4</v>
      </c>
      <c r="R693" s="66">
        <v>289571</v>
      </c>
      <c r="S693" s="66">
        <v>1013499</v>
      </c>
      <c r="T693" s="106">
        <f>IF(A693="Upgrade",IF(OR(H693=4,H693=5),_xlfn.XLOOKUP(I693,'Renewal Rates'!$A$22:$A$27,'Renewal Rates'!$B$22:$B$27,'Renewal Rates'!$B$27,0),'Renewal Rates'!$F$7),IF(A693="Renewal",100%,0%))</f>
        <v>0</v>
      </c>
      <c r="U693" s="68">
        <f t="shared" si="11"/>
        <v>0</v>
      </c>
    </row>
    <row r="694" spans="1:21" s="41" customFormat="1" ht="13.8" x14ac:dyDescent="0.3">
      <c r="A694" s="115" t="s">
        <v>21</v>
      </c>
      <c r="B694" s="116">
        <v>2000530041</v>
      </c>
      <c r="C694" s="116">
        <v>2.0299999999999998</v>
      </c>
      <c r="D694" s="117">
        <v>8.9</v>
      </c>
      <c r="E694" s="117"/>
      <c r="F694" s="117">
        <v>450</v>
      </c>
      <c r="G694" s="117">
        <v>900</v>
      </c>
      <c r="H694" s="123"/>
      <c r="I694" s="117" t="s">
        <v>122</v>
      </c>
      <c r="J694" s="115">
        <v>385</v>
      </c>
      <c r="K694" s="115" t="s">
        <v>23</v>
      </c>
      <c r="L694" s="117" t="s">
        <v>24</v>
      </c>
      <c r="M694" s="66">
        <v>60812</v>
      </c>
      <c r="N694" s="66">
        <v>6841</v>
      </c>
      <c r="O694" s="66">
        <v>30452</v>
      </c>
      <c r="P694" s="66">
        <v>120017</v>
      </c>
      <c r="Q694" s="67">
        <v>0.4</v>
      </c>
      <c r="R694" s="66">
        <v>48007</v>
      </c>
      <c r="S694" s="66">
        <v>168024</v>
      </c>
      <c r="T694" s="106">
        <f>IF(A694="Upgrade",IF(OR(H694=4,H694=5),_xlfn.XLOOKUP(I694,'Renewal Rates'!$A$22:$A$27,'Renewal Rates'!$B$22:$B$27,'Renewal Rates'!$B$27,0),'Renewal Rates'!$F$7),IF(A694="Renewal",100%,0%))</f>
        <v>2.6599999999999999E-2</v>
      </c>
      <c r="U694" s="68">
        <f t="shared" si="11"/>
        <v>4469.4384</v>
      </c>
    </row>
    <row r="695" spans="1:21" s="41" customFormat="1" ht="13.8" x14ac:dyDescent="0.3">
      <c r="A695" s="115" t="s">
        <v>21</v>
      </c>
      <c r="B695" s="116">
        <v>2000668842</v>
      </c>
      <c r="C695" s="116">
        <v>2.0299999999999998</v>
      </c>
      <c r="D695" s="117">
        <v>79.8</v>
      </c>
      <c r="E695" s="117"/>
      <c r="F695" s="117">
        <v>225</v>
      </c>
      <c r="G695" s="117">
        <v>900</v>
      </c>
      <c r="H695" s="123"/>
      <c r="I695" s="117" t="s">
        <v>122</v>
      </c>
      <c r="J695" s="115">
        <v>385</v>
      </c>
      <c r="K695" s="115" t="s">
        <v>23</v>
      </c>
      <c r="L695" s="117" t="s">
        <v>24</v>
      </c>
      <c r="M695" s="66">
        <v>327424</v>
      </c>
      <c r="N695" s="66">
        <v>4103</v>
      </c>
      <c r="O695" s="66">
        <v>148614</v>
      </c>
      <c r="P695" s="66">
        <v>585713</v>
      </c>
      <c r="Q695" s="67">
        <v>0.4</v>
      </c>
      <c r="R695" s="66">
        <v>234285</v>
      </c>
      <c r="S695" s="66">
        <v>819998</v>
      </c>
      <c r="T695" s="106">
        <f>IF(A695="Upgrade",IF(OR(H695=4,H695=5),_xlfn.XLOOKUP(I695,'Renewal Rates'!$A$22:$A$27,'Renewal Rates'!$B$22:$B$27,'Renewal Rates'!$B$27,0),'Renewal Rates'!$F$7),IF(A695="Renewal",100%,0%))</f>
        <v>2.6599999999999999E-2</v>
      </c>
      <c r="U695" s="68">
        <f t="shared" si="11"/>
        <v>21811.946799999998</v>
      </c>
    </row>
    <row r="696" spans="1:21" s="41" customFormat="1" ht="13.8" x14ac:dyDescent="0.3">
      <c r="A696" s="115" t="s">
        <v>21</v>
      </c>
      <c r="B696" s="116">
        <v>2000964455</v>
      </c>
      <c r="C696" s="116">
        <v>2.0409999999999999</v>
      </c>
      <c r="D696" s="117">
        <v>51.6</v>
      </c>
      <c r="E696" s="117"/>
      <c r="F696" s="117">
        <v>225</v>
      </c>
      <c r="G696" s="117">
        <v>750</v>
      </c>
      <c r="H696" s="123"/>
      <c r="I696" s="117" t="s">
        <v>122</v>
      </c>
      <c r="J696" s="115">
        <v>385</v>
      </c>
      <c r="K696" s="115" t="s">
        <v>23</v>
      </c>
      <c r="L696" s="117" t="s">
        <v>24</v>
      </c>
      <c r="M696" s="66">
        <v>241335</v>
      </c>
      <c r="N696" s="66">
        <v>4681</v>
      </c>
      <c r="O696" s="66">
        <v>82054</v>
      </c>
      <c r="P696" s="66">
        <v>323389</v>
      </c>
      <c r="Q696" s="67">
        <v>0.4</v>
      </c>
      <c r="R696" s="66">
        <v>129356</v>
      </c>
      <c r="S696" s="66">
        <v>452744</v>
      </c>
      <c r="T696" s="106">
        <f>IF(A696="Upgrade",IF(OR(H696=4,H696=5),_xlfn.XLOOKUP(I696,'Renewal Rates'!$A$22:$A$27,'Renewal Rates'!$B$22:$B$27,'Renewal Rates'!$B$27,0),'Renewal Rates'!$F$7),IF(A696="Renewal",100%,0%))</f>
        <v>2.6599999999999999E-2</v>
      </c>
      <c r="U696" s="68">
        <f t="shared" si="11"/>
        <v>12042.990399999999</v>
      </c>
    </row>
    <row r="697" spans="1:21" s="41" customFormat="1" ht="13.8" x14ac:dyDescent="0.3">
      <c r="A697" s="115" t="s">
        <v>25</v>
      </c>
      <c r="B697" s="116" t="s">
        <v>22</v>
      </c>
      <c r="C697" s="116">
        <v>2.0209999999999999</v>
      </c>
      <c r="D697" s="117"/>
      <c r="E697" s="117">
        <v>85.1</v>
      </c>
      <c r="F697" s="117"/>
      <c r="G697" s="117">
        <v>600</v>
      </c>
      <c r="H697" s="123"/>
      <c r="I697" s="117" t="s">
        <v>122</v>
      </c>
      <c r="J697" s="115">
        <v>385</v>
      </c>
      <c r="K697" s="115" t="s">
        <v>23</v>
      </c>
      <c r="L697" s="117" t="s">
        <v>24</v>
      </c>
      <c r="M697" s="66">
        <v>285953</v>
      </c>
      <c r="N697" s="66">
        <v>3360</v>
      </c>
      <c r="O697" s="66">
        <v>97224</v>
      </c>
      <c r="P697" s="66">
        <v>383177</v>
      </c>
      <c r="Q697" s="67">
        <v>0.4</v>
      </c>
      <c r="R697" s="66">
        <v>153271</v>
      </c>
      <c r="S697" s="66">
        <v>536448</v>
      </c>
      <c r="T697" s="106">
        <f>IF(A697="Upgrade",IF(OR(H697=4,H697=5),_xlfn.XLOOKUP(I697,'Renewal Rates'!$A$22:$A$27,'Renewal Rates'!$B$22:$B$27,'Renewal Rates'!$B$27,0),'Renewal Rates'!$F$7),IF(A697="Renewal",100%,0%))</f>
        <v>0</v>
      </c>
      <c r="U697" s="68">
        <f t="shared" si="11"/>
        <v>0</v>
      </c>
    </row>
    <row r="698" spans="1:21" s="41" customFormat="1" ht="13.8" x14ac:dyDescent="0.3">
      <c r="A698" s="115" t="s">
        <v>25</v>
      </c>
      <c r="B698" s="116" t="s">
        <v>22</v>
      </c>
      <c r="C698" s="116">
        <v>2.04</v>
      </c>
      <c r="D698" s="117"/>
      <c r="E698" s="117">
        <v>184.8</v>
      </c>
      <c r="F698" s="117"/>
      <c r="G698" s="117">
        <v>750</v>
      </c>
      <c r="H698" s="123"/>
      <c r="I698" s="117" t="s">
        <v>122</v>
      </c>
      <c r="J698" s="115">
        <v>385</v>
      </c>
      <c r="K698" s="115" t="s">
        <v>23</v>
      </c>
      <c r="L698" s="117" t="s">
        <v>24</v>
      </c>
      <c r="M698" s="66">
        <v>743551</v>
      </c>
      <c r="N698" s="66">
        <v>4025</v>
      </c>
      <c r="O698" s="66">
        <v>252807</v>
      </c>
      <c r="P698" s="66">
        <v>996359</v>
      </c>
      <c r="Q698" s="67">
        <v>0.4</v>
      </c>
      <c r="R698" s="66">
        <v>398543</v>
      </c>
      <c r="S698" s="66">
        <v>1394902</v>
      </c>
      <c r="T698" s="106">
        <f>IF(A698="Upgrade",IF(OR(H698=4,H698=5),_xlfn.XLOOKUP(I698,'Renewal Rates'!$A$22:$A$27,'Renewal Rates'!$B$22:$B$27,'Renewal Rates'!$B$27,0),'Renewal Rates'!$F$7),IF(A698="Renewal",100%,0%))</f>
        <v>0</v>
      </c>
      <c r="U698" s="68">
        <f t="shared" si="11"/>
        <v>0</v>
      </c>
    </row>
    <row r="699" spans="1:21" s="41" customFormat="1" ht="13.8" x14ac:dyDescent="0.3">
      <c r="A699" s="115" t="s">
        <v>25</v>
      </c>
      <c r="B699" s="116" t="s">
        <v>22</v>
      </c>
      <c r="C699" s="116">
        <v>2.0099999999999998</v>
      </c>
      <c r="D699" s="117"/>
      <c r="E699" s="117">
        <v>79.5</v>
      </c>
      <c r="F699" s="117"/>
      <c r="G699" s="117">
        <v>375</v>
      </c>
      <c r="H699" s="123"/>
      <c r="I699" s="117" t="s">
        <v>122</v>
      </c>
      <c r="J699" s="115">
        <v>385</v>
      </c>
      <c r="K699" s="115" t="s">
        <v>23</v>
      </c>
      <c r="L699" s="117" t="s">
        <v>24</v>
      </c>
      <c r="M699" s="66">
        <v>163945</v>
      </c>
      <c r="N699" s="66">
        <v>2062</v>
      </c>
      <c r="O699" s="66">
        <v>55741</v>
      </c>
      <c r="P699" s="66">
        <v>219686</v>
      </c>
      <c r="Q699" s="67">
        <v>0.4</v>
      </c>
      <c r="R699" s="66">
        <v>87874</v>
      </c>
      <c r="S699" s="66">
        <v>307560</v>
      </c>
      <c r="T699" s="106">
        <f>IF(A699="Upgrade",IF(OR(H699=4,H699=5),_xlfn.XLOOKUP(I699,'Renewal Rates'!$A$22:$A$27,'Renewal Rates'!$B$22:$B$27,'Renewal Rates'!$B$27,0),'Renewal Rates'!$F$7),IF(A699="Renewal",100%,0%))</f>
        <v>0</v>
      </c>
      <c r="U699" s="68">
        <f t="shared" si="11"/>
        <v>0</v>
      </c>
    </row>
    <row r="700" spans="1:21" s="41" customFormat="1" ht="13.8" x14ac:dyDescent="0.3">
      <c r="A700" s="115" t="s">
        <v>21</v>
      </c>
      <c r="B700" s="116">
        <v>2000240812</v>
      </c>
      <c r="C700" s="116">
        <v>2.0289999999999999</v>
      </c>
      <c r="D700" s="117">
        <v>70.7</v>
      </c>
      <c r="E700" s="117"/>
      <c r="F700" s="117">
        <v>225</v>
      </c>
      <c r="G700" s="117">
        <v>600</v>
      </c>
      <c r="H700" s="123"/>
      <c r="I700" s="117" t="s">
        <v>122</v>
      </c>
      <c r="J700" s="115">
        <v>385</v>
      </c>
      <c r="K700" s="115" t="s">
        <v>23</v>
      </c>
      <c r="L700" s="117" t="s">
        <v>24</v>
      </c>
      <c r="M700" s="66">
        <v>228367</v>
      </c>
      <c r="N700" s="66">
        <v>3232</v>
      </c>
      <c r="O700" s="66">
        <v>91100</v>
      </c>
      <c r="P700" s="66">
        <v>359042</v>
      </c>
      <c r="Q700" s="67">
        <v>0.4</v>
      </c>
      <c r="R700" s="66">
        <v>143617</v>
      </c>
      <c r="S700" s="66">
        <v>502659</v>
      </c>
      <c r="T700" s="106">
        <f>IF(A700="Upgrade",IF(OR(H700=4,H700=5),_xlfn.XLOOKUP(I700,'Renewal Rates'!$A$22:$A$27,'Renewal Rates'!$B$22:$B$27,'Renewal Rates'!$B$27,0),'Renewal Rates'!$F$7),IF(A700="Renewal",100%,0%))</f>
        <v>2.6599999999999999E-2</v>
      </c>
      <c r="U700" s="68">
        <f t="shared" si="11"/>
        <v>13370.7294</v>
      </c>
    </row>
    <row r="701" spans="1:21" s="41" customFormat="1" ht="13.8" x14ac:dyDescent="0.3">
      <c r="A701" s="115" t="s">
        <v>25</v>
      </c>
      <c r="B701" s="116" t="s">
        <v>22</v>
      </c>
      <c r="C701" s="116">
        <v>2.0169999999999999</v>
      </c>
      <c r="D701" s="117"/>
      <c r="E701" s="117">
        <v>266.7</v>
      </c>
      <c r="F701" s="117"/>
      <c r="G701" s="117">
        <v>750</v>
      </c>
      <c r="H701" s="123"/>
      <c r="I701" s="117" t="s">
        <v>122</v>
      </c>
      <c r="J701" s="115">
        <v>385</v>
      </c>
      <c r="K701" s="115" t="s">
        <v>23</v>
      </c>
      <c r="L701" s="117" t="s">
        <v>24</v>
      </c>
      <c r="M701" s="66">
        <v>782638</v>
      </c>
      <c r="N701" s="66">
        <v>2934</v>
      </c>
      <c r="O701" s="66">
        <v>319105</v>
      </c>
      <c r="P701" s="66">
        <v>1257648</v>
      </c>
      <c r="Q701" s="67">
        <v>0.4</v>
      </c>
      <c r="R701" s="66">
        <v>503059</v>
      </c>
      <c r="S701" s="66">
        <v>1760707</v>
      </c>
      <c r="T701" s="106">
        <f>IF(A701="Upgrade",IF(OR(H701=4,H701=5),_xlfn.XLOOKUP(I701,'Renewal Rates'!$A$22:$A$27,'Renewal Rates'!$B$22:$B$27,'Renewal Rates'!$B$27,0),'Renewal Rates'!$F$7),IF(A701="Renewal",100%,0%))</f>
        <v>0</v>
      </c>
      <c r="U701" s="68">
        <f t="shared" si="11"/>
        <v>0</v>
      </c>
    </row>
    <row r="702" spans="1:21" s="41" customFormat="1" ht="13.8" x14ac:dyDescent="0.3">
      <c r="A702" s="115" t="s">
        <v>25</v>
      </c>
      <c r="B702" s="116" t="s">
        <v>22</v>
      </c>
      <c r="C702" s="116">
        <v>2.0179999999999998</v>
      </c>
      <c r="D702" s="117"/>
      <c r="E702" s="117">
        <v>142.30000000000001</v>
      </c>
      <c r="F702" s="117"/>
      <c r="G702" s="117">
        <v>525</v>
      </c>
      <c r="H702" s="123"/>
      <c r="I702" s="117" t="s">
        <v>122</v>
      </c>
      <c r="J702" s="115">
        <v>385</v>
      </c>
      <c r="K702" s="115" t="s">
        <v>23</v>
      </c>
      <c r="L702" s="117" t="s">
        <v>24</v>
      </c>
      <c r="M702" s="66">
        <v>403327</v>
      </c>
      <c r="N702" s="66">
        <v>2834</v>
      </c>
      <c r="O702" s="66">
        <v>137131</v>
      </c>
      <c r="P702" s="66">
        <v>540458</v>
      </c>
      <c r="Q702" s="67">
        <v>0.4</v>
      </c>
      <c r="R702" s="66">
        <v>216183</v>
      </c>
      <c r="S702" s="66">
        <v>756641</v>
      </c>
      <c r="T702" s="106">
        <f>IF(A702="Upgrade",IF(OR(H702=4,H702=5),_xlfn.XLOOKUP(I702,'Renewal Rates'!$A$22:$A$27,'Renewal Rates'!$B$22:$B$27,'Renewal Rates'!$B$27,0),'Renewal Rates'!$F$7),IF(A702="Renewal",100%,0%))</f>
        <v>0</v>
      </c>
      <c r="U702" s="68">
        <f t="shared" si="11"/>
        <v>0</v>
      </c>
    </row>
    <row r="703" spans="1:21" s="41" customFormat="1" ht="13.8" x14ac:dyDescent="0.3">
      <c r="A703" s="115" t="s">
        <v>25</v>
      </c>
      <c r="B703" s="116" t="s">
        <v>22</v>
      </c>
      <c r="C703" s="116">
        <v>2.0430000000000001</v>
      </c>
      <c r="D703" s="117"/>
      <c r="E703" s="117">
        <v>93</v>
      </c>
      <c r="F703" s="117"/>
      <c r="G703" s="117">
        <v>525</v>
      </c>
      <c r="H703" s="123"/>
      <c r="I703" s="117" t="s">
        <v>122</v>
      </c>
      <c r="J703" s="115">
        <v>385</v>
      </c>
      <c r="K703" s="115" t="s">
        <v>23</v>
      </c>
      <c r="L703" s="117" t="s">
        <v>24</v>
      </c>
      <c r="M703" s="66">
        <v>296405</v>
      </c>
      <c r="N703" s="66">
        <v>3188</v>
      </c>
      <c r="O703" s="66">
        <v>100778</v>
      </c>
      <c r="P703" s="66">
        <v>397183</v>
      </c>
      <c r="Q703" s="67">
        <v>0.4</v>
      </c>
      <c r="R703" s="66">
        <v>158873</v>
      </c>
      <c r="S703" s="66">
        <v>556057</v>
      </c>
      <c r="T703" s="106">
        <f>IF(A703="Upgrade",IF(OR(H703=4,H703=5),_xlfn.XLOOKUP(I703,'Renewal Rates'!$A$22:$A$27,'Renewal Rates'!$B$22:$B$27,'Renewal Rates'!$B$27,0),'Renewal Rates'!$F$7),IF(A703="Renewal",100%,0%))</f>
        <v>0</v>
      </c>
      <c r="U703" s="68">
        <f t="shared" si="11"/>
        <v>0</v>
      </c>
    </row>
    <row r="704" spans="1:21" s="41" customFormat="1" ht="13.8" x14ac:dyDescent="0.3">
      <c r="A704" s="115" t="s">
        <v>25</v>
      </c>
      <c r="B704" s="116" t="s">
        <v>22</v>
      </c>
      <c r="C704" s="116">
        <v>2.0070000000000001</v>
      </c>
      <c r="D704" s="117"/>
      <c r="E704" s="117">
        <v>383.3</v>
      </c>
      <c r="F704" s="117"/>
      <c r="G704" s="117">
        <v>825</v>
      </c>
      <c r="H704" s="123"/>
      <c r="I704" s="117" t="s">
        <v>122</v>
      </c>
      <c r="J704" s="115">
        <v>385</v>
      </c>
      <c r="K704" s="115" t="s">
        <v>23</v>
      </c>
      <c r="L704" s="117" t="s">
        <v>24</v>
      </c>
      <c r="M704" s="66">
        <v>1656705</v>
      </c>
      <c r="N704" s="66">
        <v>4322</v>
      </c>
      <c r="O704" s="66">
        <v>563280</v>
      </c>
      <c r="P704" s="66">
        <v>2219985</v>
      </c>
      <c r="Q704" s="67">
        <v>0.4</v>
      </c>
      <c r="R704" s="66">
        <v>887994</v>
      </c>
      <c r="S704" s="66">
        <v>3107979</v>
      </c>
      <c r="T704" s="106">
        <f>IF(A704="Upgrade",IF(OR(H704=4,H704=5),_xlfn.XLOOKUP(I704,'Renewal Rates'!$A$22:$A$27,'Renewal Rates'!$B$22:$B$27,'Renewal Rates'!$B$27,0),'Renewal Rates'!$F$7),IF(A704="Renewal",100%,0%))</f>
        <v>0</v>
      </c>
      <c r="U704" s="68">
        <f t="shared" si="11"/>
        <v>0</v>
      </c>
    </row>
    <row r="705" spans="1:21" s="41" customFormat="1" ht="13.8" x14ac:dyDescent="0.3">
      <c r="A705" s="115" t="s">
        <v>25</v>
      </c>
      <c r="B705" s="116" t="s">
        <v>22</v>
      </c>
      <c r="C705" s="116">
        <v>2.008</v>
      </c>
      <c r="D705" s="117"/>
      <c r="E705" s="117">
        <v>83.7</v>
      </c>
      <c r="F705" s="117"/>
      <c r="G705" s="117">
        <v>600</v>
      </c>
      <c r="H705" s="123"/>
      <c r="I705" s="117" t="s">
        <v>122</v>
      </c>
      <c r="J705" s="115">
        <v>385</v>
      </c>
      <c r="K705" s="115" t="s">
        <v>23</v>
      </c>
      <c r="L705" s="117" t="s">
        <v>24</v>
      </c>
      <c r="M705" s="66">
        <v>268067</v>
      </c>
      <c r="N705" s="66">
        <v>3204</v>
      </c>
      <c r="O705" s="66">
        <v>91143</v>
      </c>
      <c r="P705" s="66">
        <v>359210</v>
      </c>
      <c r="Q705" s="67">
        <v>0.4</v>
      </c>
      <c r="R705" s="66">
        <v>143684</v>
      </c>
      <c r="S705" s="66">
        <v>502894</v>
      </c>
      <c r="T705" s="106">
        <f>IF(A705="Upgrade",IF(OR(H705=4,H705=5),_xlfn.XLOOKUP(I705,'Renewal Rates'!$A$22:$A$27,'Renewal Rates'!$B$22:$B$27,'Renewal Rates'!$B$27,0),'Renewal Rates'!$F$7),IF(A705="Renewal",100%,0%))</f>
        <v>0</v>
      </c>
      <c r="U705" s="68">
        <f t="shared" si="11"/>
        <v>0</v>
      </c>
    </row>
    <row r="706" spans="1:21" s="41" customFormat="1" ht="13.8" x14ac:dyDescent="0.3">
      <c r="A706" s="115" t="s">
        <v>25</v>
      </c>
      <c r="B706" s="116" t="s">
        <v>22</v>
      </c>
      <c r="C706" s="116">
        <v>2.0369999999999999</v>
      </c>
      <c r="D706" s="117"/>
      <c r="E706" s="117">
        <v>199</v>
      </c>
      <c r="F706" s="117"/>
      <c r="G706" s="117">
        <v>750</v>
      </c>
      <c r="H706" s="123"/>
      <c r="I706" s="117" t="s">
        <v>122</v>
      </c>
      <c r="J706" s="115">
        <v>385</v>
      </c>
      <c r="K706" s="115" t="s">
        <v>23</v>
      </c>
      <c r="L706" s="117" t="s">
        <v>24</v>
      </c>
      <c r="M706" s="66">
        <v>782340</v>
      </c>
      <c r="N706" s="66">
        <v>3932</v>
      </c>
      <c r="O706" s="66">
        <v>265996</v>
      </c>
      <c r="P706" s="66">
        <v>1048335</v>
      </c>
      <c r="Q706" s="67">
        <v>0.4</v>
      </c>
      <c r="R706" s="66">
        <v>419334</v>
      </c>
      <c r="S706" s="66">
        <v>1467670</v>
      </c>
      <c r="T706" s="106">
        <f>IF(A706="Upgrade",IF(OR(H706=4,H706=5),_xlfn.XLOOKUP(I706,'Renewal Rates'!$A$22:$A$27,'Renewal Rates'!$B$22:$B$27,'Renewal Rates'!$B$27,0),'Renewal Rates'!$F$7),IF(A706="Renewal",100%,0%))</f>
        <v>0</v>
      </c>
      <c r="U706" s="68">
        <f t="shared" si="11"/>
        <v>0</v>
      </c>
    </row>
    <row r="707" spans="1:21" s="41" customFormat="1" ht="13.8" x14ac:dyDescent="0.3">
      <c r="A707" s="115" t="s">
        <v>25</v>
      </c>
      <c r="B707" s="116" t="s">
        <v>22</v>
      </c>
      <c r="C707" s="116">
        <v>2.0049999999999999</v>
      </c>
      <c r="D707" s="117"/>
      <c r="E707" s="117">
        <v>70.599999999999994</v>
      </c>
      <c r="F707" s="117"/>
      <c r="G707" s="117">
        <v>525</v>
      </c>
      <c r="H707" s="123"/>
      <c r="I707" s="117" t="s">
        <v>122</v>
      </c>
      <c r="J707" s="115">
        <v>385</v>
      </c>
      <c r="K707" s="115" t="s">
        <v>23</v>
      </c>
      <c r="L707" s="117" t="s">
        <v>24</v>
      </c>
      <c r="M707" s="66">
        <v>221646</v>
      </c>
      <c r="N707" s="66">
        <v>3138</v>
      </c>
      <c r="O707" s="66">
        <v>75360</v>
      </c>
      <c r="P707" s="66">
        <v>297006</v>
      </c>
      <c r="Q707" s="67">
        <v>0.4</v>
      </c>
      <c r="R707" s="66">
        <v>118802</v>
      </c>
      <c r="S707" s="66">
        <v>415808</v>
      </c>
      <c r="T707" s="106">
        <f>IF(A707="Upgrade",IF(OR(H707=4,H707=5),_xlfn.XLOOKUP(I707,'Renewal Rates'!$A$22:$A$27,'Renewal Rates'!$B$22:$B$27,'Renewal Rates'!$B$27,0),'Renewal Rates'!$F$7),IF(A707="Renewal",100%,0%))</f>
        <v>0</v>
      </c>
      <c r="U707" s="68">
        <f t="shared" si="11"/>
        <v>0</v>
      </c>
    </row>
    <row r="708" spans="1:21" s="41" customFormat="1" ht="13.8" x14ac:dyDescent="0.3">
      <c r="A708" s="115" t="s">
        <v>25</v>
      </c>
      <c r="B708" s="116" t="s">
        <v>22</v>
      </c>
      <c r="C708" s="116">
        <v>2.0030000000000001</v>
      </c>
      <c r="D708" s="117"/>
      <c r="E708" s="117">
        <v>135</v>
      </c>
      <c r="F708" s="117"/>
      <c r="G708" s="117">
        <v>675</v>
      </c>
      <c r="H708" s="123"/>
      <c r="I708" s="117" t="s">
        <v>122</v>
      </c>
      <c r="J708" s="115">
        <v>386</v>
      </c>
      <c r="K708" s="115" t="s">
        <v>23</v>
      </c>
      <c r="L708" s="117" t="s">
        <v>24</v>
      </c>
      <c r="M708" s="66">
        <v>494704</v>
      </c>
      <c r="N708" s="66">
        <v>3665</v>
      </c>
      <c r="O708" s="66">
        <v>168199</v>
      </c>
      <c r="P708" s="66">
        <v>662903</v>
      </c>
      <c r="Q708" s="67">
        <v>0.4</v>
      </c>
      <c r="R708" s="66">
        <v>265161</v>
      </c>
      <c r="S708" s="66">
        <v>928064</v>
      </c>
      <c r="T708" s="106">
        <f>IF(A708="Upgrade",IF(OR(H708=4,H708=5),_xlfn.XLOOKUP(I708,'Renewal Rates'!$A$22:$A$27,'Renewal Rates'!$B$22:$B$27,'Renewal Rates'!$B$27,0),'Renewal Rates'!$F$7),IF(A708="Renewal",100%,0%))</f>
        <v>0</v>
      </c>
      <c r="U708" s="68">
        <f t="shared" si="11"/>
        <v>0</v>
      </c>
    </row>
    <row r="709" spans="1:21" s="41" customFormat="1" ht="13.8" x14ac:dyDescent="0.3">
      <c r="A709" s="115" t="s">
        <v>25</v>
      </c>
      <c r="B709" s="116" t="s">
        <v>22</v>
      </c>
      <c r="C709" s="116">
        <v>2.004</v>
      </c>
      <c r="D709" s="117"/>
      <c r="E709" s="117">
        <v>123</v>
      </c>
      <c r="F709" s="117"/>
      <c r="G709" s="117">
        <v>900</v>
      </c>
      <c r="H709" s="123"/>
      <c r="I709" s="117" t="s">
        <v>122</v>
      </c>
      <c r="J709" s="115">
        <v>386</v>
      </c>
      <c r="K709" s="115" t="s">
        <v>23</v>
      </c>
      <c r="L709" s="117" t="s">
        <v>24</v>
      </c>
      <c r="M709" s="66">
        <v>646985</v>
      </c>
      <c r="N709" s="66">
        <v>5262</v>
      </c>
      <c r="O709" s="66">
        <v>219975</v>
      </c>
      <c r="P709" s="66">
        <v>866960</v>
      </c>
      <c r="Q709" s="67">
        <v>0.4</v>
      </c>
      <c r="R709" s="66">
        <v>346784</v>
      </c>
      <c r="S709" s="66">
        <v>1213745</v>
      </c>
      <c r="T709" s="106">
        <f>IF(A709="Upgrade",IF(OR(H709=4,H709=5),_xlfn.XLOOKUP(I709,'Renewal Rates'!$A$22:$A$27,'Renewal Rates'!$B$22:$B$27,'Renewal Rates'!$B$27,0),'Renewal Rates'!$F$7),IF(A709="Renewal",100%,0%))</f>
        <v>0</v>
      </c>
      <c r="U709" s="68">
        <f t="shared" si="11"/>
        <v>0</v>
      </c>
    </row>
    <row r="710" spans="1:21" s="41" customFormat="1" ht="13.8" x14ac:dyDescent="0.3">
      <c r="A710" s="115" t="s">
        <v>25</v>
      </c>
      <c r="B710" s="116" t="s">
        <v>22</v>
      </c>
      <c r="C710" s="116">
        <v>2.0459999999999998</v>
      </c>
      <c r="D710" s="117"/>
      <c r="E710" s="117">
        <v>207.1</v>
      </c>
      <c r="F710" s="117"/>
      <c r="G710" s="117">
        <v>600</v>
      </c>
      <c r="H710" s="123"/>
      <c r="I710" s="117" t="s">
        <v>122</v>
      </c>
      <c r="J710" s="115">
        <v>386</v>
      </c>
      <c r="K710" s="115" t="s">
        <v>23</v>
      </c>
      <c r="L710" s="117" t="s">
        <v>24</v>
      </c>
      <c r="M710" s="66">
        <v>661660</v>
      </c>
      <c r="N710" s="66">
        <v>3196</v>
      </c>
      <c r="O710" s="66">
        <v>224964</v>
      </c>
      <c r="P710" s="66">
        <v>886625</v>
      </c>
      <c r="Q710" s="67">
        <v>0.4</v>
      </c>
      <c r="R710" s="66">
        <v>354650</v>
      </c>
      <c r="S710" s="66">
        <v>1241275</v>
      </c>
      <c r="T710" s="106">
        <f>IF(A710="Upgrade",IF(OR(H710=4,H710=5),_xlfn.XLOOKUP(I710,'Renewal Rates'!$A$22:$A$27,'Renewal Rates'!$B$22:$B$27,'Renewal Rates'!$B$27,0),'Renewal Rates'!$F$7),IF(A710="Renewal",100%,0%))</f>
        <v>0</v>
      </c>
      <c r="U710" s="68">
        <f t="shared" si="11"/>
        <v>0</v>
      </c>
    </row>
    <row r="711" spans="1:21" s="41" customFormat="1" ht="13.8" x14ac:dyDescent="0.3">
      <c r="A711" s="115" t="s">
        <v>25</v>
      </c>
      <c r="B711" s="116" t="s">
        <v>22</v>
      </c>
      <c r="C711" s="116">
        <v>2.0510000000000002</v>
      </c>
      <c r="D711" s="117"/>
      <c r="E711" s="117">
        <v>108.8</v>
      </c>
      <c r="F711" s="117"/>
      <c r="G711" s="117">
        <v>525</v>
      </c>
      <c r="H711" s="123"/>
      <c r="I711" s="117" t="s">
        <v>122</v>
      </c>
      <c r="J711" s="115">
        <v>386</v>
      </c>
      <c r="K711" s="115" t="s">
        <v>23</v>
      </c>
      <c r="L711" s="117" t="s">
        <v>24</v>
      </c>
      <c r="M711" s="66">
        <v>332184</v>
      </c>
      <c r="N711" s="66">
        <v>3052</v>
      </c>
      <c r="O711" s="66">
        <v>112943</v>
      </c>
      <c r="P711" s="66">
        <v>445127</v>
      </c>
      <c r="Q711" s="67">
        <v>0.4</v>
      </c>
      <c r="R711" s="66">
        <v>178051</v>
      </c>
      <c r="S711" s="66">
        <v>623178</v>
      </c>
      <c r="T711" s="106">
        <f>IF(A711="Upgrade",IF(OR(H711=4,H711=5),_xlfn.XLOOKUP(I711,'Renewal Rates'!$A$22:$A$27,'Renewal Rates'!$B$22:$B$27,'Renewal Rates'!$B$27,0),'Renewal Rates'!$F$7),IF(A711="Renewal",100%,0%))</f>
        <v>0</v>
      </c>
      <c r="U711" s="68">
        <f t="shared" si="11"/>
        <v>0</v>
      </c>
    </row>
    <row r="712" spans="1:21" s="41" customFormat="1" ht="13.8" x14ac:dyDescent="0.3">
      <c r="A712" s="115" t="s">
        <v>25</v>
      </c>
      <c r="B712" s="116" t="s">
        <v>22</v>
      </c>
      <c r="C712" s="116">
        <v>2.036</v>
      </c>
      <c r="D712" s="117"/>
      <c r="E712" s="117">
        <v>130.9</v>
      </c>
      <c r="F712" s="117"/>
      <c r="G712" s="117">
        <v>750</v>
      </c>
      <c r="H712" s="123"/>
      <c r="I712" s="117" t="s">
        <v>122</v>
      </c>
      <c r="J712" s="115">
        <v>386</v>
      </c>
      <c r="K712" s="115" t="s">
        <v>23</v>
      </c>
      <c r="L712" s="117" t="s">
        <v>24</v>
      </c>
      <c r="M712" s="66">
        <v>552570</v>
      </c>
      <c r="N712" s="66">
        <v>4222</v>
      </c>
      <c r="O712" s="66">
        <v>187874</v>
      </c>
      <c r="P712" s="66">
        <v>740444</v>
      </c>
      <c r="Q712" s="67">
        <v>0.4</v>
      </c>
      <c r="R712" s="66">
        <v>296178</v>
      </c>
      <c r="S712" s="66">
        <v>1036621</v>
      </c>
      <c r="T712" s="106">
        <f>IF(A712="Upgrade",IF(OR(H712=4,H712=5),_xlfn.XLOOKUP(I712,'Renewal Rates'!$A$22:$A$27,'Renewal Rates'!$B$22:$B$27,'Renewal Rates'!$B$27,0),'Renewal Rates'!$F$7),IF(A712="Renewal",100%,0%))</f>
        <v>0</v>
      </c>
      <c r="U712" s="68">
        <f t="shared" si="11"/>
        <v>0</v>
      </c>
    </row>
    <row r="713" spans="1:21" s="41" customFormat="1" ht="13.8" x14ac:dyDescent="0.3">
      <c r="A713" s="115" t="s">
        <v>25</v>
      </c>
      <c r="B713" s="116" t="s">
        <v>22</v>
      </c>
      <c r="C713" s="116">
        <v>2.0350000000000001</v>
      </c>
      <c r="D713" s="117"/>
      <c r="E713" s="117">
        <v>103.1</v>
      </c>
      <c r="F713" s="117"/>
      <c r="G713" s="117">
        <v>525</v>
      </c>
      <c r="H713" s="123"/>
      <c r="I713" s="117" t="s">
        <v>122</v>
      </c>
      <c r="J713" s="115">
        <v>386</v>
      </c>
      <c r="K713" s="115" t="s">
        <v>23</v>
      </c>
      <c r="L713" s="117" t="s">
        <v>24</v>
      </c>
      <c r="M713" s="66">
        <v>327165</v>
      </c>
      <c r="N713" s="66">
        <v>3174</v>
      </c>
      <c r="O713" s="66">
        <v>111236</v>
      </c>
      <c r="P713" s="66">
        <v>438400</v>
      </c>
      <c r="Q713" s="67">
        <v>0.4</v>
      </c>
      <c r="R713" s="66">
        <v>175360</v>
      </c>
      <c r="S713" s="66">
        <v>613761</v>
      </c>
      <c r="T713" s="106">
        <f>IF(A713="Upgrade",IF(OR(H713=4,H713=5),_xlfn.XLOOKUP(I713,'Renewal Rates'!$A$22:$A$27,'Renewal Rates'!$B$22:$B$27,'Renewal Rates'!$B$27,0),'Renewal Rates'!$F$7),IF(A713="Renewal",100%,0%))</f>
        <v>0</v>
      </c>
      <c r="U713" s="68">
        <f t="shared" si="11"/>
        <v>0</v>
      </c>
    </row>
    <row r="714" spans="1:21" s="41" customFormat="1" ht="13.8" x14ac:dyDescent="0.3">
      <c r="A714" s="115" t="s">
        <v>25</v>
      </c>
      <c r="B714" s="116" t="s">
        <v>22</v>
      </c>
      <c r="C714" s="116">
        <v>2.0059999999999998</v>
      </c>
      <c r="D714" s="117"/>
      <c r="E714" s="117">
        <v>338.9</v>
      </c>
      <c r="F714" s="117"/>
      <c r="G714" s="117">
        <v>675</v>
      </c>
      <c r="H714" s="123"/>
      <c r="I714" s="117" t="s">
        <v>122</v>
      </c>
      <c r="J714" s="115">
        <v>386</v>
      </c>
      <c r="K714" s="115" t="s">
        <v>23</v>
      </c>
      <c r="L714" s="117" t="s">
        <v>24</v>
      </c>
      <c r="M714" s="66">
        <v>1227247</v>
      </c>
      <c r="N714" s="66">
        <v>3621</v>
      </c>
      <c r="O714" s="66">
        <v>417264</v>
      </c>
      <c r="P714" s="66">
        <v>1644511</v>
      </c>
      <c r="Q714" s="67">
        <v>0.4</v>
      </c>
      <c r="R714" s="66">
        <v>657805</v>
      </c>
      <c r="S714" s="66">
        <v>2302316</v>
      </c>
      <c r="T714" s="106">
        <f>IF(A714="Upgrade",IF(OR(H714=4,H714=5),_xlfn.XLOOKUP(I714,'Renewal Rates'!$A$22:$A$27,'Renewal Rates'!$B$22:$B$27,'Renewal Rates'!$B$27,0),'Renewal Rates'!$F$7),IF(A714="Renewal",100%,0%))</f>
        <v>0</v>
      </c>
      <c r="U714" s="68">
        <f t="shared" si="11"/>
        <v>0</v>
      </c>
    </row>
    <row r="715" spans="1:21" s="41" customFormat="1" ht="13.8" x14ac:dyDescent="0.3">
      <c r="A715" s="115" t="s">
        <v>21</v>
      </c>
      <c r="B715" s="116">
        <v>3000103031</v>
      </c>
      <c r="C715" s="116">
        <v>2.028</v>
      </c>
      <c r="D715" s="117">
        <v>189.9</v>
      </c>
      <c r="E715" s="117"/>
      <c r="F715" s="117">
        <v>450</v>
      </c>
      <c r="G715" s="117">
        <v>675</v>
      </c>
      <c r="H715" s="123">
        <v>5</v>
      </c>
      <c r="I715" s="117"/>
      <c r="J715" s="115">
        <v>385</v>
      </c>
      <c r="K715" s="115" t="s">
        <v>23</v>
      </c>
      <c r="L715" s="117" t="s">
        <v>24</v>
      </c>
      <c r="M715" s="66">
        <v>725370</v>
      </c>
      <c r="N715" s="66">
        <v>3820</v>
      </c>
      <c r="O715" s="66">
        <v>246626</v>
      </c>
      <c r="P715" s="66">
        <v>971996</v>
      </c>
      <c r="Q715" s="67">
        <v>0.4</v>
      </c>
      <c r="R715" s="66">
        <v>388798</v>
      </c>
      <c r="S715" s="66">
        <v>1360794</v>
      </c>
      <c r="T715" s="106">
        <f>IF(A715="Upgrade",IF(OR(H715=4,H715=5),_xlfn.XLOOKUP(I715,'Renewal Rates'!$A$22:$A$27,'Renewal Rates'!$B$22:$B$27,'Renewal Rates'!$B$27,0),'Renewal Rates'!$F$7),IF(A715="Renewal",100%,0%))</f>
        <v>0.116578</v>
      </c>
      <c r="U715" s="68">
        <f t="shared" si="11"/>
        <v>158638.64293199999</v>
      </c>
    </row>
    <row r="716" spans="1:21" s="41" customFormat="1" ht="13.8" x14ac:dyDescent="0.3">
      <c r="A716" s="115" t="s">
        <v>21</v>
      </c>
      <c r="B716" s="116">
        <v>2000136008</v>
      </c>
      <c r="C716" s="116">
        <v>2.028</v>
      </c>
      <c r="D716" s="117">
        <v>9.6999999999999993</v>
      </c>
      <c r="E716" s="117"/>
      <c r="F716" s="117">
        <v>525</v>
      </c>
      <c r="G716" s="117">
        <v>675</v>
      </c>
      <c r="H716" s="123">
        <v>5</v>
      </c>
      <c r="I716" s="117">
        <v>1</v>
      </c>
      <c r="J716" s="115">
        <v>385</v>
      </c>
      <c r="K716" s="115" t="s">
        <v>23</v>
      </c>
      <c r="L716" s="117" t="s">
        <v>24</v>
      </c>
      <c r="M716" s="66">
        <v>61637</v>
      </c>
      <c r="N716" s="66">
        <v>6344</v>
      </c>
      <c r="O716" s="66">
        <v>20957</v>
      </c>
      <c r="P716" s="66">
        <v>82594</v>
      </c>
      <c r="Q716" s="67">
        <v>0.4</v>
      </c>
      <c r="R716" s="66">
        <v>33038</v>
      </c>
      <c r="S716" s="66">
        <v>115631</v>
      </c>
      <c r="T716" s="106">
        <f>IF(A716="Upgrade",IF(OR(H716=4,H716=5),_xlfn.XLOOKUP(I716,'Renewal Rates'!$A$22:$A$27,'Renewal Rates'!$B$22:$B$27,'Renewal Rates'!$B$27,0),'Renewal Rates'!$F$7),IF(A716="Renewal",100%,0%))</f>
        <v>0</v>
      </c>
      <c r="U716" s="68">
        <f t="shared" si="11"/>
        <v>0</v>
      </c>
    </row>
    <row r="717" spans="1:21" s="41" customFormat="1" ht="13.8" x14ac:dyDescent="0.3">
      <c r="A717" s="115" t="s">
        <v>21</v>
      </c>
      <c r="B717" s="116">
        <v>2000689836</v>
      </c>
      <c r="C717" s="116">
        <v>2.028</v>
      </c>
      <c r="D717" s="117">
        <v>45.8</v>
      </c>
      <c r="E717" s="117"/>
      <c r="F717" s="117">
        <v>450</v>
      </c>
      <c r="G717" s="117">
        <v>675</v>
      </c>
      <c r="H717" s="123">
        <v>4</v>
      </c>
      <c r="I717" s="117">
        <v>1</v>
      </c>
      <c r="J717" s="115">
        <v>385</v>
      </c>
      <c r="K717" s="115" t="s">
        <v>23</v>
      </c>
      <c r="L717" s="117" t="s">
        <v>24</v>
      </c>
      <c r="M717" s="66">
        <v>182510</v>
      </c>
      <c r="N717" s="66">
        <v>3989</v>
      </c>
      <c r="O717" s="66">
        <v>62053</v>
      </c>
      <c r="P717" s="66">
        <v>244563</v>
      </c>
      <c r="Q717" s="67">
        <v>0.4</v>
      </c>
      <c r="R717" s="66">
        <v>97825</v>
      </c>
      <c r="S717" s="66">
        <v>342388</v>
      </c>
      <c r="T717" s="106">
        <f>IF(A717="Upgrade",IF(OR(H717=4,H717=5),_xlfn.XLOOKUP(I717,'Renewal Rates'!$A$22:$A$27,'Renewal Rates'!$B$22:$B$27,'Renewal Rates'!$B$27,0),'Renewal Rates'!$F$7),IF(A717="Renewal",100%,0%))</f>
        <v>0</v>
      </c>
      <c r="U717" s="68">
        <f t="shared" si="11"/>
        <v>0</v>
      </c>
    </row>
    <row r="718" spans="1:21" s="41" customFormat="1" ht="13.8" x14ac:dyDescent="0.3">
      <c r="A718" s="115" t="s">
        <v>21</v>
      </c>
      <c r="B718" s="116">
        <v>2000532271</v>
      </c>
      <c r="C718" s="116">
        <v>2.0019999999999998</v>
      </c>
      <c r="D718" s="117">
        <v>100.4</v>
      </c>
      <c r="E718" s="117"/>
      <c r="F718" s="117">
        <v>600</v>
      </c>
      <c r="G718" s="117">
        <v>1275</v>
      </c>
      <c r="H718" s="123">
        <v>5</v>
      </c>
      <c r="I718" s="117">
        <v>2</v>
      </c>
      <c r="J718" s="115">
        <v>385</v>
      </c>
      <c r="K718" s="115" t="s">
        <v>23</v>
      </c>
      <c r="L718" s="117" t="s">
        <v>24</v>
      </c>
      <c r="M718" s="66">
        <v>684306</v>
      </c>
      <c r="N718" s="66">
        <v>6813</v>
      </c>
      <c r="O718" s="66">
        <v>232664</v>
      </c>
      <c r="P718" s="66">
        <v>916969</v>
      </c>
      <c r="Q718" s="67">
        <v>0.4</v>
      </c>
      <c r="R718" s="66">
        <v>366788</v>
      </c>
      <c r="S718" s="66">
        <v>1283757</v>
      </c>
      <c r="T718" s="106">
        <f>IF(A718="Upgrade",IF(OR(H718=4,H718=5),_xlfn.XLOOKUP(I718,'Renewal Rates'!$A$22:$A$27,'Renewal Rates'!$B$22:$B$27,'Renewal Rates'!$B$27,0),'Renewal Rates'!$F$7),IF(A718="Renewal",100%,0%))</f>
        <v>0</v>
      </c>
      <c r="U718" s="68">
        <f t="shared" si="11"/>
        <v>0</v>
      </c>
    </row>
    <row r="719" spans="1:21" s="41" customFormat="1" ht="13.8" x14ac:dyDescent="0.3">
      <c r="A719" s="115" t="s">
        <v>21</v>
      </c>
      <c r="B719" s="116">
        <v>2000351679</v>
      </c>
      <c r="C719" s="116">
        <v>2.0019999999999998</v>
      </c>
      <c r="D719" s="117">
        <v>262.7</v>
      </c>
      <c r="E719" s="117"/>
      <c r="F719" s="117">
        <v>600</v>
      </c>
      <c r="G719" s="117">
        <v>1275</v>
      </c>
      <c r="H719" s="123"/>
      <c r="I719" s="117" t="s">
        <v>122</v>
      </c>
      <c r="J719" s="115">
        <v>385</v>
      </c>
      <c r="K719" s="115" t="s">
        <v>23</v>
      </c>
      <c r="L719" s="117" t="s">
        <v>24</v>
      </c>
      <c r="M719" s="66">
        <v>1768934</v>
      </c>
      <c r="N719" s="66">
        <v>6734</v>
      </c>
      <c r="O719" s="66">
        <v>601438</v>
      </c>
      <c r="P719" s="66">
        <v>2370372</v>
      </c>
      <c r="Q719" s="67">
        <v>0.4</v>
      </c>
      <c r="R719" s="66">
        <v>948149</v>
      </c>
      <c r="S719" s="66">
        <v>3318521</v>
      </c>
      <c r="T719" s="106">
        <f>IF(A719="Upgrade",IF(OR(H719=4,H719=5),_xlfn.XLOOKUP(I719,'Renewal Rates'!$A$22:$A$27,'Renewal Rates'!$B$22:$B$27,'Renewal Rates'!$B$27,0),'Renewal Rates'!$F$7),IF(A719="Renewal",100%,0%))</f>
        <v>2.6599999999999999E-2</v>
      </c>
      <c r="U719" s="68">
        <f t="shared" si="11"/>
        <v>88272.658599999995</v>
      </c>
    </row>
    <row r="720" spans="1:21" s="41" customFormat="1" ht="13.8" x14ac:dyDescent="0.3">
      <c r="A720" s="115" t="s">
        <v>21</v>
      </c>
      <c r="B720" s="116">
        <v>2000674144</v>
      </c>
      <c r="C720" s="116">
        <v>2.0019999999999998</v>
      </c>
      <c r="D720" s="117">
        <v>41.2</v>
      </c>
      <c r="E720" s="117"/>
      <c r="F720" s="117">
        <v>600</v>
      </c>
      <c r="G720" s="117">
        <v>1275</v>
      </c>
      <c r="H720" s="123">
        <v>5</v>
      </c>
      <c r="I720" s="117">
        <v>2</v>
      </c>
      <c r="J720" s="115">
        <v>385</v>
      </c>
      <c r="K720" s="115" t="s">
        <v>23</v>
      </c>
      <c r="L720" s="117" t="s">
        <v>24</v>
      </c>
      <c r="M720" s="66">
        <v>289090</v>
      </c>
      <c r="N720" s="66">
        <v>7024</v>
      </c>
      <c r="O720" s="66">
        <v>98291</v>
      </c>
      <c r="P720" s="66">
        <v>387381</v>
      </c>
      <c r="Q720" s="67">
        <v>0.4</v>
      </c>
      <c r="R720" s="66">
        <v>154952</v>
      </c>
      <c r="S720" s="66">
        <v>542333</v>
      </c>
      <c r="T720" s="106">
        <f>IF(A720="Upgrade",IF(OR(H720=4,H720=5),_xlfn.XLOOKUP(I720,'Renewal Rates'!$A$22:$A$27,'Renewal Rates'!$B$22:$B$27,'Renewal Rates'!$B$27,0),'Renewal Rates'!$F$7),IF(A720="Renewal",100%,0%))</f>
        <v>0</v>
      </c>
      <c r="U720" s="68">
        <f t="shared" si="11"/>
        <v>0</v>
      </c>
    </row>
    <row r="721" spans="1:21" s="41" customFormat="1" ht="13.8" x14ac:dyDescent="0.3">
      <c r="A721" s="115" t="s">
        <v>25</v>
      </c>
      <c r="B721" s="116" t="s">
        <v>22</v>
      </c>
      <c r="C721" s="116">
        <v>2.0550000000000002</v>
      </c>
      <c r="D721" s="117"/>
      <c r="E721" s="117">
        <v>289.2</v>
      </c>
      <c r="F721" s="117"/>
      <c r="G721" s="117">
        <v>1125</v>
      </c>
      <c r="H721" s="123"/>
      <c r="I721" s="117" t="s">
        <v>122</v>
      </c>
      <c r="J721" s="115">
        <v>385</v>
      </c>
      <c r="K721" s="115" t="s">
        <v>23</v>
      </c>
      <c r="L721" s="117" t="s">
        <v>24</v>
      </c>
      <c r="M721" s="66">
        <v>1932089</v>
      </c>
      <c r="N721" s="66">
        <v>6681</v>
      </c>
      <c r="O721" s="66">
        <v>656910</v>
      </c>
      <c r="P721" s="66">
        <v>2588999</v>
      </c>
      <c r="Q721" s="67">
        <v>0.4</v>
      </c>
      <c r="R721" s="66">
        <v>1035600</v>
      </c>
      <c r="S721" s="66">
        <v>3624599</v>
      </c>
      <c r="T721" s="106">
        <f>IF(A721="Upgrade",IF(OR(H721=4,H721=5),_xlfn.XLOOKUP(I721,'Renewal Rates'!$A$22:$A$27,'Renewal Rates'!$B$22:$B$27,'Renewal Rates'!$B$27,0),'Renewal Rates'!$F$7),IF(A721="Renewal",100%,0%))</f>
        <v>0</v>
      </c>
      <c r="U721" s="68">
        <f t="shared" si="11"/>
        <v>0</v>
      </c>
    </row>
    <row r="722" spans="1:21" s="41" customFormat="1" ht="13.8" x14ac:dyDescent="0.3">
      <c r="A722" s="115" t="s">
        <v>25</v>
      </c>
      <c r="B722" s="116" t="s">
        <v>22</v>
      </c>
      <c r="C722" s="116">
        <v>2.056</v>
      </c>
      <c r="D722" s="117"/>
      <c r="E722" s="117">
        <v>66.8</v>
      </c>
      <c r="F722" s="117"/>
      <c r="G722" s="117">
        <v>375</v>
      </c>
      <c r="H722" s="123"/>
      <c r="I722" s="117" t="s">
        <v>122</v>
      </c>
      <c r="J722" s="115">
        <v>385</v>
      </c>
      <c r="K722" s="115" t="s">
        <v>23</v>
      </c>
      <c r="L722" s="117" t="s">
        <v>24</v>
      </c>
      <c r="M722" s="66">
        <v>156904</v>
      </c>
      <c r="N722" s="66">
        <v>2349</v>
      </c>
      <c r="O722" s="66">
        <v>53347</v>
      </c>
      <c r="P722" s="66">
        <v>210252</v>
      </c>
      <c r="Q722" s="67">
        <v>0.4</v>
      </c>
      <c r="R722" s="66">
        <v>84101</v>
      </c>
      <c r="S722" s="66">
        <v>294353</v>
      </c>
      <c r="T722" s="106">
        <f>IF(A722="Upgrade",IF(OR(H722=4,H722=5),_xlfn.XLOOKUP(I722,'Renewal Rates'!$A$22:$A$27,'Renewal Rates'!$B$22:$B$27,'Renewal Rates'!$B$27,0),'Renewal Rates'!$F$7),IF(A722="Renewal",100%,0%))</f>
        <v>0</v>
      </c>
      <c r="U722" s="68">
        <f t="shared" si="11"/>
        <v>0</v>
      </c>
    </row>
    <row r="723" spans="1:21" s="41" customFormat="1" ht="13.8" x14ac:dyDescent="0.3">
      <c r="A723" s="115" t="s">
        <v>25</v>
      </c>
      <c r="B723" s="116" t="s">
        <v>22</v>
      </c>
      <c r="C723" s="116">
        <v>2.052</v>
      </c>
      <c r="D723" s="117"/>
      <c r="E723" s="117">
        <v>166.4</v>
      </c>
      <c r="F723" s="117"/>
      <c r="G723" s="117">
        <v>750</v>
      </c>
      <c r="H723" s="123"/>
      <c r="I723" s="117" t="s">
        <v>122</v>
      </c>
      <c r="J723" s="115">
        <v>386</v>
      </c>
      <c r="K723" s="115" t="s">
        <v>23</v>
      </c>
      <c r="L723" s="117" t="s">
        <v>24</v>
      </c>
      <c r="M723" s="66">
        <v>679784</v>
      </c>
      <c r="N723" s="66">
        <v>4084</v>
      </c>
      <c r="O723" s="66">
        <v>231127</v>
      </c>
      <c r="P723" s="66">
        <v>910911</v>
      </c>
      <c r="Q723" s="67">
        <v>0.4</v>
      </c>
      <c r="R723" s="66">
        <v>364364</v>
      </c>
      <c r="S723" s="66">
        <v>1275275</v>
      </c>
      <c r="T723" s="106">
        <f>IF(A723="Upgrade",IF(OR(H723=4,H723=5),_xlfn.XLOOKUP(I723,'Renewal Rates'!$A$22:$A$27,'Renewal Rates'!$B$22:$B$27,'Renewal Rates'!$B$27,0),'Renewal Rates'!$F$7),IF(A723="Renewal",100%,0%))</f>
        <v>0</v>
      </c>
      <c r="U723" s="68">
        <f t="shared" si="11"/>
        <v>0</v>
      </c>
    </row>
    <row r="724" spans="1:21" s="41" customFormat="1" ht="13.8" x14ac:dyDescent="0.3">
      <c r="A724" s="115" t="s">
        <v>21</v>
      </c>
      <c r="B724" s="116">
        <v>2000591373</v>
      </c>
      <c r="C724" s="116">
        <v>2.0339999999999998</v>
      </c>
      <c r="D724" s="117">
        <v>45.4</v>
      </c>
      <c r="E724" s="117"/>
      <c r="F724" s="117">
        <v>150</v>
      </c>
      <c r="G724" s="117">
        <v>525</v>
      </c>
      <c r="H724" s="123"/>
      <c r="I724" s="117" t="s">
        <v>122</v>
      </c>
      <c r="J724" s="115">
        <v>385</v>
      </c>
      <c r="K724" s="115" t="s">
        <v>23</v>
      </c>
      <c r="L724" s="117" t="s">
        <v>24</v>
      </c>
      <c r="M724" s="66">
        <v>141905</v>
      </c>
      <c r="N724" s="66">
        <v>3123</v>
      </c>
      <c r="O724" s="66">
        <v>48248</v>
      </c>
      <c r="P724" s="66">
        <v>190153</v>
      </c>
      <c r="Q724" s="67">
        <v>0.4</v>
      </c>
      <c r="R724" s="66">
        <v>76061</v>
      </c>
      <c r="S724" s="66">
        <v>266214</v>
      </c>
      <c r="T724" s="106">
        <f>IF(A724="Upgrade",IF(OR(H724=4,H724=5),_xlfn.XLOOKUP(I724,'Renewal Rates'!$A$22:$A$27,'Renewal Rates'!$B$22:$B$27,'Renewal Rates'!$B$27,0),'Renewal Rates'!$F$7),IF(A724="Renewal",100%,0%))</f>
        <v>2.6599999999999999E-2</v>
      </c>
      <c r="U724" s="68">
        <f t="shared" si="11"/>
        <v>7081.2923999999994</v>
      </c>
    </row>
    <row r="725" spans="1:21" s="41" customFormat="1" ht="13.8" x14ac:dyDescent="0.3">
      <c r="A725" s="115" t="s">
        <v>25</v>
      </c>
      <c r="B725" s="116" t="s">
        <v>22</v>
      </c>
      <c r="C725" s="116">
        <v>2.0569999999999999</v>
      </c>
      <c r="D725" s="117"/>
      <c r="E725" s="117">
        <v>36.299999999999997</v>
      </c>
      <c r="F725" s="117"/>
      <c r="G725" s="117">
        <v>375</v>
      </c>
      <c r="H725" s="123"/>
      <c r="I725" s="117" t="s">
        <v>122</v>
      </c>
      <c r="J725" s="115">
        <v>385</v>
      </c>
      <c r="K725" s="115" t="s">
        <v>23</v>
      </c>
      <c r="L725" s="117" t="s">
        <v>24</v>
      </c>
      <c r="M725" s="66">
        <v>90964</v>
      </c>
      <c r="N725" s="66">
        <v>2505</v>
      </c>
      <c r="O725" s="66">
        <v>30928</v>
      </c>
      <c r="P725" s="66">
        <v>121891</v>
      </c>
      <c r="Q725" s="67">
        <v>0.4</v>
      </c>
      <c r="R725" s="66">
        <v>48756</v>
      </c>
      <c r="S725" s="66">
        <v>170648</v>
      </c>
      <c r="T725" s="106">
        <f>IF(A725="Upgrade",IF(OR(H725=4,H725=5),_xlfn.XLOOKUP(I725,'Renewal Rates'!$A$22:$A$27,'Renewal Rates'!$B$22:$B$27,'Renewal Rates'!$B$27,0),'Renewal Rates'!$F$7),IF(A725="Renewal",100%,0%))</f>
        <v>0</v>
      </c>
      <c r="U725" s="68">
        <f t="shared" si="11"/>
        <v>0</v>
      </c>
    </row>
    <row r="726" spans="1:21" s="41" customFormat="1" ht="13.8" x14ac:dyDescent="0.3">
      <c r="A726" s="115" t="s">
        <v>21</v>
      </c>
      <c r="B726" s="116">
        <v>2000049586</v>
      </c>
      <c r="C726" s="116">
        <v>2.0529999999999999</v>
      </c>
      <c r="D726" s="117">
        <v>37.5</v>
      </c>
      <c r="E726" s="117"/>
      <c r="F726" s="117">
        <v>300</v>
      </c>
      <c r="G726" s="117">
        <v>900</v>
      </c>
      <c r="H726" s="123"/>
      <c r="I726" s="117" t="s">
        <v>122</v>
      </c>
      <c r="J726" s="115">
        <v>386</v>
      </c>
      <c r="K726" s="115" t="s">
        <v>23</v>
      </c>
      <c r="L726" s="117" t="s">
        <v>24</v>
      </c>
      <c r="M726" s="66">
        <v>205938</v>
      </c>
      <c r="N726" s="66">
        <v>5493</v>
      </c>
      <c r="O726" s="66">
        <v>70019</v>
      </c>
      <c r="P726" s="66">
        <v>275957</v>
      </c>
      <c r="Q726" s="67">
        <v>0.4</v>
      </c>
      <c r="R726" s="66">
        <v>110383</v>
      </c>
      <c r="S726" s="66">
        <v>386340</v>
      </c>
      <c r="T726" s="106">
        <f>IF(A726="Upgrade",IF(OR(H726=4,H726=5),_xlfn.XLOOKUP(I726,'Renewal Rates'!$A$22:$A$27,'Renewal Rates'!$B$22:$B$27,'Renewal Rates'!$B$27,0),'Renewal Rates'!$F$7),IF(A726="Renewal",100%,0%))</f>
        <v>2.6599999999999999E-2</v>
      </c>
      <c r="U726" s="68">
        <f t="shared" si="11"/>
        <v>10276.644</v>
      </c>
    </row>
    <row r="727" spans="1:21" s="41" customFormat="1" ht="13.8" x14ac:dyDescent="0.3">
      <c r="A727" s="115" t="s">
        <v>21</v>
      </c>
      <c r="B727" s="116">
        <v>2000415719</v>
      </c>
      <c r="C727" s="116">
        <v>2.0529999999999999</v>
      </c>
      <c r="D727" s="117">
        <v>24.6</v>
      </c>
      <c r="E727" s="117"/>
      <c r="F727" s="117">
        <v>300</v>
      </c>
      <c r="G727" s="117">
        <v>900</v>
      </c>
      <c r="H727" s="123"/>
      <c r="I727" s="117" t="s">
        <v>122</v>
      </c>
      <c r="J727" s="115">
        <v>386</v>
      </c>
      <c r="K727" s="115" t="s">
        <v>23</v>
      </c>
      <c r="L727" s="117" t="s">
        <v>24</v>
      </c>
      <c r="M727" s="66">
        <v>161458</v>
      </c>
      <c r="N727" s="66">
        <v>6566</v>
      </c>
      <c r="O727" s="66">
        <v>54896</v>
      </c>
      <c r="P727" s="66">
        <v>216354</v>
      </c>
      <c r="Q727" s="67">
        <v>0.4</v>
      </c>
      <c r="R727" s="66">
        <v>86542</v>
      </c>
      <c r="S727" s="66">
        <v>302896</v>
      </c>
      <c r="T727" s="106">
        <f>IF(A727="Upgrade",IF(OR(H727=4,H727=5),_xlfn.XLOOKUP(I727,'Renewal Rates'!$A$22:$A$27,'Renewal Rates'!$B$22:$B$27,'Renewal Rates'!$B$27,0),'Renewal Rates'!$F$7),IF(A727="Renewal",100%,0%))</f>
        <v>2.6599999999999999E-2</v>
      </c>
      <c r="U727" s="68">
        <f t="shared" si="11"/>
        <v>8057.0335999999998</v>
      </c>
    </row>
    <row r="728" spans="1:21" s="41" customFormat="1" ht="13.8" x14ac:dyDescent="0.3">
      <c r="A728" s="115" t="s">
        <v>21</v>
      </c>
      <c r="B728" s="116">
        <v>2000136540</v>
      </c>
      <c r="C728" s="116">
        <v>2.0529999999999999</v>
      </c>
      <c r="D728" s="117">
        <v>35.1</v>
      </c>
      <c r="E728" s="117"/>
      <c r="F728" s="117">
        <v>600</v>
      </c>
      <c r="G728" s="117">
        <v>900</v>
      </c>
      <c r="H728" s="123">
        <v>4</v>
      </c>
      <c r="I728" s="117">
        <v>1</v>
      </c>
      <c r="J728" s="115">
        <v>386</v>
      </c>
      <c r="K728" s="115" t="s">
        <v>23</v>
      </c>
      <c r="L728" s="117" t="s">
        <v>24</v>
      </c>
      <c r="M728" s="66">
        <v>201923</v>
      </c>
      <c r="N728" s="66">
        <v>5751</v>
      </c>
      <c r="O728" s="66">
        <v>68654</v>
      </c>
      <c r="P728" s="66">
        <v>270576</v>
      </c>
      <c r="Q728" s="67">
        <v>0.4</v>
      </c>
      <c r="R728" s="66">
        <v>108231</v>
      </c>
      <c r="S728" s="66">
        <v>378807</v>
      </c>
      <c r="T728" s="106">
        <f>IF(A728="Upgrade",IF(OR(H728=4,H728=5),_xlfn.XLOOKUP(I728,'Renewal Rates'!$A$22:$A$27,'Renewal Rates'!$B$22:$B$27,'Renewal Rates'!$B$27,0),'Renewal Rates'!$F$7),IF(A728="Renewal",100%,0%))</f>
        <v>0</v>
      </c>
      <c r="U728" s="68">
        <f t="shared" si="11"/>
        <v>0</v>
      </c>
    </row>
    <row r="729" spans="1:21" s="41" customFormat="1" ht="13.8" x14ac:dyDescent="0.3">
      <c r="A729" s="115" t="s">
        <v>21</v>
      </c>
      <c r="B729" s="116">
        <v>2000426665</v>
      </c>
      <c r="C729" s="116">
        <v>2.0529999999999999</v>
      </c>
      <c r="D729" s="117">
        <v>57.4</v>
      </c>
      <c r="E729" s="117"/>
      <c r="F729" s="117">
        <v>375</v>
      </c>
      <c r="G729" s="117">
        <v>900</v>
      </c>
      <c r="H729" s="123"/>
      <c r="I729" s="117" t="s">
        <v>122</v>
      </c>
      <c r="J729" s="115">
        <v>386</v>
      </c>
      <c r="K729" s="115" t="s">
        <v>23</v>
      </c>
      <c r="L729" s="117" t="s">
        <v>24</v>
      </c>
      <c r="M729" s="66">
        <v>331173</v>
      </c>
      <c r="N729" s="66">
        <v>5771</v>
      </c>
      <c r="O729" s="66">
        <v>112599</v>
      </c>
      <c r="P729" s="66">
        <v>443772</v>
      </c>
      <c r="Q729" s="67">
        <v>0.4</v>
      </c>
      <c r="R729" s="66">
        <v>177509</v>
      </c>
      <c r="S729" s="66">
        <v>621280</v>
      </c>
      <c r="T729" s="106">
        <f>IF(A729="Upgrade",IF(OR(H729=4,H729=5),_xlfn.XLOOKUP(I729,'Renewal Rates'!$A$22:$A$27,'Renewal Rates'!$B$22:$B$27,'Renewal Rates'!$B$27,0),'Renewal Rates'!$F$7),IF(A729="Renewal",100%,0%))</f>
        <v>2.6599999999999999E-2</v>
      </c>
      <c r="U729" s="68">
        <f t="shared" si="11"/>
        <v>16526.047999999999</v>
      </c>
    </row>
    <row r="730" spans="1:21" s="41" customFormat="1" ht="13.8" x14ac:dyDescent="0.3">
      <c r="A730" s="115" t="s">
        <v>21</v>
      </c>
      <c r="B730" s="116">
        <v>3000109318</v>
      </c>
      <c r="C730" s="116">
        <v>2.0529999999999999</v>
      </c>
      <c r="D730" s="117">
        <v>9.3000000000000007</v>
      </c>
      <c r="E730" s="117"/>
      <c r="F730" s="117">
        <v>375</v>
      </c>
      <c r="G730" s="117">
        <v>900</v>
      </c>
      <c r="H730" s="123"/>
      <c r="I730" s="117" t="s">
        <v>122</v>
      </c>
      <c r="J730" s="115">
        <v>386</v>
      </c>
      <c r="K730" s="115" t="s">
        <v>23</v>
      </c>
      <c r="L730" s="117" t="s">
        <v>24</v>
      </c>
      <c r="M730" s="66">
        <v>90315</v>
      </c>
      <c r="N730" s="66">
        <v>9677</v>
      </c>
      <c r="O730" s="66">
        <v>30707</v>
      </c>
      <c r="P730" s="66">
        <v>121022</v>
      </c>
      <c r="Q730" s="67">
        <v>0.4</v>
      </c>
      <c r="R730" s="66">
        <v>48409</v>
      </c>
      <c r="S730" s="66">
        <v>169430</v>
      </c>
      <c r="T730" s="106">
        <f>IF(A730="Upgrade",IF(OR(H730=4,H730=5),_xlfn.XLOOKUP(I730,'Renewal Rates'!$A$22:$A$27,'Renewal Rates'!$B$22:$B$27,'Renewal Rates'!$B$27,0),'Renewal Rates'!$F$7),IF(A730="Renewal",100%,0%))</f>
        <v>2.6599999999999999E-2</v>
      </c>
      <c r="U730" s="68">
        <f t="shared" si="11"/>
        <v>4506.8379999999997</v>
      </c>
    </row>
    <row r="731" spans="1:21" s="41" customFormat="1" ht="13.8" x14ac:dyDescent="0.3">
      <c r="A731" s="115" t="s">
        <v>21</v>
      </c>
      <c r="B731" s="116">
        <v>2000769782</v>
      </c>
      <c r="C731" s="116">
        <v>2.0539999999999998</v>
      </c>
      <c r="D731" s="117">
        <v>2.7</v>
      </c>
      <c r="E731" s="117"/>
      <c r="F731" s="117">
        <v>600</v>
      </c>
      <c r="G731" s="117">
        <v>600</v>
      </c>
      <c r="H731" s="123">
        <v>4</v>
      </c>
      <c r="I731" s="117">
        <v>1</v>
      </c>
      <c r="J731" s="115">
        <v>386</v>
      </c>
      <c r="K731" s="115" t="s">
        <v>23</v>
      </c>
      <c r="L731" s="117" t="s">
        <v>24</v>
      </c>
      <c r="M731" s="66">
        <v>46263</v>
      </c>
      <c r="N731" s="66">
        <v>17067</v>
      </c>
      <c r="O731" s="66">
        <v>15729</v>
      </c>
      <c r="P731" s="66">
        <v>61992</v>
      </c>
      <c r="Q731" s="67">
        <v>0.4</v>
      </c>
      <c r="R731" s="66">
        <v>24797</v>
      </c>
      <c r="S731" s="66">
        <v>86789</v>
      </c>
      <c r="T731" s="106">
        <f>IF(A731="Upgrade",IF(OR(H731=4,H731=5),_xlfn.XLOOKUP(I731,'Renewal Rates'!$A$22:$A$27,'Renewal Rates'!$B$22:$B$27,'Renewal Rates'!$B$27,0),'Renewal Rates'!$F$7),IF(A731="Renewal",100%,0%))</f>
        <v>0</v>
      </c>
      <c r="U731" s="68">
        <f t="shared" si="11"/>
        <v>0</v>
      </c>
    </row>
    <row r="732" spans="1:21" s="41" customFormat="1" ht="13.8" x14ac:dyDescent="0.3">
      <c r="A732" s="115" t="s">
        <v>21</v>
      </c>
      <c r="B732" s="116">
        <v>2000475435</v>
      </c>
      <c r="C732" s="116">
        <v>2.0539999999999998</v>
      </c>
      <c r="D732" s="117">
        <v>10.3</v>
      </c>
      <c r="E732" s="117"/>
      <c r="F732" s="117">
        <v>600</v>
      </c>
      <c r="G732" s="117">
        <v>600</v>
      </c>
      <c r="H732" s="123"/>
      <c r="I732" s="117" t="s">
        <v>122</v>
      </c>
      <c r="J732" s="115">
        <v>386</v>
      </c>
      <c r="K732" s="115" t="s">
        <v>23</v>
      </c>
      <c r="L732" s="117" t="s">
        <v>24</v>
      </c>
      <c r="M732" s="66">
        <v>37685</v>
      </c>
      <c r="N732" s="66">
        <v>3675</v>
      </c>
      <c r="O732" s="66">
        <v>12813</v>
      </c>
      <c r="P732" s="66">
        <v>50498</v>
      </c>
      <c r="Q732" s="67">
        <v>0.4</v>
      </c>
      <c r="R732" s="66">
        <v>20199</v>
      </c>
      <c r="S732" s="66">
        <v>70697</v>
      </c>
      <c r="T732" s="106">
        <f>IF(A732="Upgrade",IF(OR(H732=4,H732=5),_xlfn.XLOOKUP(I732,'Renewal Rates'!$A$22:$A$27,'Renewal Rates'!$B$22:$B$27,'Renewal Rates'!$B$27,0),'Renewal Rates'!$F$7),IF(A732="Renewal",100%,0%))</f>
        <v>2.6599999999999999E-2</v>
      </c>
      <c r="U732" s="68">
        <f t="shared" si="11"/>
        <v>1880.5401999999999</v>
      </c>
    </row>
    <row r="733" spans="1:21" s="41" customFormat="1" ht="13.8" x14ac:dyDescent="0.3">
      <c r="A733" s="115" t="s">
        <v>21</v>
      </c>
      <c r="B733" s="116">
        <v>2000969415</v>
      </c>
      <c r="C733" s="116">
        <v>2.0539999999999998</v>
      </c>
      <c r="D733" s="117">
        <v>3.1</v>
      </c>
      <c r="E733" s="117"/>
      <c r="F733" s="117">
        <v>600</v>
      </c>
      <c r="G733" s="117">
        <v>600</v>
      </c>
      <c r="H733" s="123"/>
      <c r="I733" s="117" t="s">
        <v>122</v>
      </c>
      <c r="J733" s="115">
        <v>386</v>
      </c>
      <c r="K733" s="115" t="s">
        <v>23</v>
      </c>
      <c r="L733" s="117" t="s">
        <v>24</v>
      </c>
      <c r="M733" s="66">
        <v>30241</v>
      </c>
      <c r="N733" s="66">
        <v>9891</v>
      </c>
      <c r="O733" s="66">
        <v>10282</v>
      </c>
      <c r="P733" s="66">
        <v>40524</v>
      </c>
      <c r="Q733" s="67">
        <v>0.4</v>
      </c>
      <c r="R733" s="66">
        <v>16209</v>
      </c>
      <c r="S733" s="66">
        <v>56733</v>
      </c>
      <c r="T733" s="106">
        <f>IF(A733="Upgrade",IF(OR(H733=4,H733=5),_xlfn.XLOOKUP(I733,'Renewal Rates'!$A$22:$A$27,'Renewal Rates'!$B$22:$B$27,'Renewal Rates'!$B$27,0),'Renewal Rates'!$F$7),IF(A733="Renewal",100%,0%))</f>
        <v>2.6599999999999999E-2</v>
      </c>
      <c r="U733" s="68">
        <f t="shared" si="11"/>
        <v>1509.0978</v>
      </c>
    </row>
    <row r="734" spans="1:21" s="41" customFormat="1" ht="13.8" x14ac:dyDescent="0.3">
      <c r="A734" s="115" t="s">
        <v>21</v>
      </c>
      <c r="B734" s="116">
        <v>3000173409</v>
      </c>
      <c r="C734" s="116">
        <v>2.0539999999999998</v>
      </c>
      <c r="D734" s="117">
        <v>5.0999999999999996</v>
      </c>
      <c r="E734" s="117"/>
      <c r="F734" s="117">
        <v>600</v>
      </c>
      <c r="G734" s="117">
        <v>600</v>
      </c>
      <c r="H734" s="123">
        <v>5</v>
      </c>
      <c r="I734" s="117"/>
      <c r="J734" s="115">
        <v>386</v>
      </c>
      <c r="K734" s="115" t="s">
        <v>23</v>
      </c>
      <c r="L734" s="117" t="s">
        <v>24</v>
      </c>
      <c r="M734" s="66">
        <v>48761</v>
      </c>
      <c r="N734" s="66">
        <v>9511</v>
      </c>
      <c r="O734" s="66">
        <v>16579</v>
      </c>
      <c r="P734" s="66">
        <v>65340</v>
      </c>
      <c r="Q734" s="67">
        <v>0.4</v>
      </c>
      <c r="R734" s="66">
        <v>26136</v>
      </c>
      <c r="S734" s="66">
        <v>91476</v>
      </c>
      <c r="T734" s="106">
        <f>IF(A734="Upgrade",IF(OR(H734=4,H734=5),_xlfn.XLOOKUP(I734,'Renewal Rates'!$A$22:$A$27,'Renewal Rates'!$B$22:$B$27,'Renewal Rates'!$B$27,0),'Renewal Rates'!$F$7),IF(A734="Renewal",100%,0%))</f>
        <v>0.116578</v>
      </c>
      <c r="U734" s="68">
        <f t="shared" si="11"/>
        <v>10664.089128</v>
      </c>
    </row>
    <row r="735" spans="1:21" s="41" customFormat="1" ht="13.8" x14ac:dyDescent="0.3">
      <c r="A735" s="115" t="s">
        <v>21</v>
      </c>
      <c r="B735" s="116">
        <v>2000228684</v>
      </c>
      <c r="C735" s="116">
        <v>2.0539999999999998</v>
      </c>
      <c r="D735" s="117">
        <v>27</v>
      </c>
      <c r="E735" s="117"/>
      <c r="F735" s="117">
        <v>600</v>
      </c>
      <c r="G735" s="117">
        <v>600</v>
      </c>
      <c r="H735" s="123"/>
      <c r="I735" s="117" t="s">
        <v>122</v>
      </c>
      <c r="J735" s="115">
        <v>386</v>
      </c>
      <c r="K735" s="115" t="s">
        <v>23</v>
      </c>
      <c r="L735" s="117" t="s">
        <v>24</v>
      </c>
      <c r="M735" s="66">
        <v>110231</v>
      </c>
      <c r="N735" s="66">
        <v>4087</v>
      </c>
      <c r="O735" s="66">
        <v>37479</v>
      </c>
      <c r="P735" s="66">
        <v>147709</v>
      </c>
      <c r="Q735" s="67">
        <v>0.4</v>
      </c>
      <c r="R735" s="66">
        <v>59084</v>
      </c>
      <c r="S735" s="66">
        <v>206793</v>
      </c>
      <c r="T735" s="106">
        <f>IF(A735="Upgrade",IF(OR(H735=4,H735=5),_xlfn.XLOOKUP(I735,'Renewal Rates'!$A$22:$A$27,'Renewal Rates'!$B$22:$B$27,'Renewal Rates'!$B$27,0),'Renewal Rates'!$F$7),IF(A735="Renewal",100%,0%))</f>
        <v>2.6599999999999999E-2</v>
      </c>
      <c r="U735" s="68">
        <f t="shared" si="11"/>
        <v>5500.6938</v>
      </c>
    </row>
    <row r="736" spans="1:21" s="41" customFormat="1" ht="13.8" x14ac:dyDescent="0.3">
      <c r="A736" s="115" t="s">
        <v>25</v>
      </c>
      <c r="B736" s="116" t="s">
        <v>22</v>
      </c>
      <c r="C736" s="116">
        <v>4.0010000000000003</v>
      </c>
      <c r="D736" s="117"/>
      <c r="E736" s="117">
        <v>178.1</v>
      </c>
      <c r="F736" s="117"/>
      <c r="G736" s="117">
        <v>825</v>
      </c>
      <c r="H736" s="123"/>
      <c r="I736" s="117" t="s">
        <v>122</v>
      </c>
      <c r="J736" s="115">
        <v>386</v>
      </c>
      <c r="K736" s="115" t="s">
        <v>23</v>
      </c>
      <c r="L736" s="117" t="s">
        <v>24</v>
      </c>
      <c r="M736" s="66">
        <v>781296</v>
      </c>
      <c r="N736" s="66">
        <v>4387</v>
      </c>
      <c r="O736" s="66">
        <v>265641</v>
      </c>
      <c r="P736" s="66">
        <v>1046937</v>
      </c>
      <c r="Q736" s="67">
        <v>0.4</v>
      </c>
      <c r="R736" s="66">
        <v>418775</v>
      </c>
      <c r="S736" s="66">
        <v>1465711</v>
      </c>
      <c r="T736" s="106">
        <f>IF(A736="Upgrade",IF(OR(H736=4,H736=5),_xlfn.XLOOKUP(I736,'Renewal Rates'!$A$22:$A$27,'Renewal Rates'!$B$22:$B$27,'Renewal Rates'!$B$27,0),'Renewal Rates'!$F$7),IF(A736="Renewal",100%,0%))</f>
        <v>0</v>
      </c>
      <c r="U736" s="68">
        <f t="shared" si="11"/>
        <v>0</v>
      </c>
    </row>
    <row r="737" spans="1:21" s="41" customFormat="1" ht="13.8" x14ac:dyDescent="0.3">
      <c r="A737" s="115" t="s">
        <v>21</v>
      </c>
      <c r="B737" s="116">
        <v>3000129640</v>
      </c>
      <c r="C737" s="116">
        <v>2.024</v>
      </c>
      <c r="D737" s="117">
        <v>18.5</v>
      </c>
      <c r="E737" s="117"/>
      <c r="F737" s="117">
        <v>900</v>
      </c>
      <c r="G737" s="117">
        <v>1200</v>
      </c>
      <c r="H737" s="123"/>
      <c r="I737" s="117" t="s">
        <v>122</v>
      </c>
      <c r="J737" s="115">
        <v>385</v>
      </c>
      <c r="K737" s="115" t="s">
        <v>23</v>
      </c>
      <c r="L737" s="117" t="s">
        <v>24</v>
      </c>
      <c r="M737" s="66">
        <v>216360</v>
      </c>
      <c r="N737" s="66">
        <v>11685</v>
      </c>
      <c r="O737" s="66">
        <v>73563</v>
      </c>
      <c r="P737" s="66">
        <v>289923</v>
      </c>
      <c r="Q737" s="67">
        <v>0.4</v>
      </c>
      <c r="R737" s="66">
        <v>115969</v>
      </c>
      <c r="S737" s="66">
        <v>405892</v>
      </c>
      <c r="T737" s="106">
        <f>IF(A737="Upgrade",IF(OR(H737=4,H737=5),_xlfn.XLOOKUP(I737,'Renewal Rates'!$A$22:$A$27,'Renewal Rates'!$B$22:$B$27,'Renewal Rates'!$B$27,0),'Renewal Rates'!$F$7),IF(A737="Renewal",100%,0%))</f>
        <v>2.6599999999999999E-2</v>
      </c>
      <c r="U737" s="68">
        <f t="shared" si="11"/>
        <v>10796.727199999999</v>
      </c>
    </row>
    <row r="738" spans="1:21" s="41" customFormat="1" ht="13.8" x14ac:dyDescent="0.3">
      <c r="A738" s="115" t="s">
        <v>21</v>
      </c>
      <c r="B738" s="116">
        <v>2000433840</v>
      </c>
      <c r="C738" s="116">
        <v>2.024</v>
      </c>
      <c r="D738" s="117">
        <v>25</v>
      </c>
      <c r="E738" s="117"/>
      <c r="F738" s="117">
        <v>525</v>
      </c>
      <c r="G738" s="117">
        <v>1200</v>
      </c>
      <c r="H738" s="123">
        <v>4</v>
      </c>
      <c r="I738" s="117">
        <v>1</v>
      </c>
      <c r="J738" s="115">
        <v>385</v>
      </c>
      <c r="K738" s="115" t="s">
        <v>23</v>
      </c>
      <c r="L738" s="117" t="s">
        <v>24</v>
      </c>
      <c r="M738" s="66">
        <v>215270</v>
      </c>
      <c r="N738" s="66">
        <v>8623</v>
      </c>
      <c r="O738" s="66">
        <v>73192</v>
      </c>
      <c r="P738" s="66">
        <v>288461</v>
      </c>
      <c r="Q738" s="67">
        <v>0.4</v>
      </c>
      <c r="R738" s="66">
        <v>115384</v>
      </c>
      <c r="S738" s="66">
        <v>403846</v>
      </c>
      <c r="T738" s="106">
        <f>IF(A738="Upgrade",IF(OR(H738=4,H738=5),_xlfn.XLOOKUP(I738,'Renewal Rates'!$A$22:$A$27,'Renewal Rates'!$B$22:$B$27,'Renewal Rates'!$B$27,0),'Renewal Rates'!$F$7),IF(A738="Renewal",100%,0%))</f>
        <v>0</v>
      </c>
      <c r="U738" s="68">
        <f t="shared" si="11"/>
        <v>0</v>
      </c>
    </row>
    <row r="739" spans="1:21" s="41" customFormat="1" ht="13.8" x14ac:dyDescent="0.3">
      <c r="A739" s="115" t="s">
        <v>21</v>
      </c>
      <c r="B739" s="116">
        <v>3000129639</v>
      </c>
      <c r="C739" s="116">
        <v>2.024</v>
      </c>
      <c r="D739" s="117">
        <v>20.5</v>
      </c>
      <c r="E739" s="117"/>
      <c r="F739" s="117">
        <v>525</v>
      </c>
      <c r="G739" s="117">
        <v>1200</v>
      </c>
      <c r="H739" s="123">
        <v>4</v>
      </c>
      <c r="I739" s="117"/>
      <c r="J739" s="115">
        <v>385</v>
      </c>
      <c r="K739" s="115" t="s">
        <v>23</v>
      </c>
      <c r="L739" s="117" t="s">
        <v>24</v>
      </c>
      <c r="M739" s="66">
        <v>181993</v>
      </c>
      <c r="N739" s="66">
        <v>8887</v>
      </c>
      <c r="O739" s="66">
        <v>61877</v>
      </c>
      <c r="P739" s="66">
        <v>243870</v>
      </c>
      <c r="Q739" s="67">
        <v>0.4</v>
      </c>
      <c r="R739" s="66">
        <v>97548</v>
      </c>
      <c r="S739" s="66">
        <v>341418</v>
      </c>
      <c r="T739" s="106">
        <f>IF(A739="Upgrade",IF(OR(H739=4,H739=5),_xlfn.XLOOKUP(I739,'Renewal Rates'!$A$22:$A$27,'Renewal Rates'!$B$22:$B$27,'Renewal Rates'!$B$27,0),'Renewal Rates'!$F$7),IF(A739="Renewal",100%,0%))</f>
        <v>0.116578</v>
      </c>
      <c r="U739" s="68">
        <f t="shared" si="11"/>
        <v>39801.827603999998</v>
      </c>
    </row>
    <row r="740" spans="1:21" s="41" customFormat="1" ht="13.8" x14ac:dyDescent="0.3">
      <c r="A740" s="115" t="s">
        <v>21</v>
      </c>
      <c r="B740" s="116">
        <v>2000517949</v>
      </c>
      <c r="C740" s="116">
        <v>3.0550000000000002</v>
      </c>
      <c r="D740" s="117">
        <v>41.4</v>
      </c>
      <c r="E740" s="117"/>
      <c r="F740" s="117">
        <v>225</v>
      </c>
      <c r="G740" s="117">
        <v>750</v>
      </c>
      <c r="H740" s="123">
        <v>5</v>
      </c>
      <c r="I740" s="117">
        <v>2</v>
      </c>
      <c r="J740" s="115">
        <v>385</v>
      </c>
      <c r="K740" s="115" t="s">
        <v>23</v>
      </c>
      <c r="L740" s="117" t="s">
        <v>24</v>
      </c>
      <c r="M740" s="66">
        <v>207043</v>
      </c>
      <c r="N740" s="66">
        <v>4996</v>
      </c>
      <c r="O740" s="66">
        <v>70395</v>
      </c>
      <c r="P740" s="66">
        <v>277438</v>
      </c>
      <c r="Q740" s="67">
        <v>0.4</v>
      </c>
      <c r="R740" s="66">
        <v>110975</v>
      </c>
      <c r="S740" s="66">
        <v>388413</v>
      </c>
      <c r="T740" s="106">
        <f>IF(A740="Upgrade",IF(OR(H740=4,H740=5),_xlfn.XLOOKUP(I740,'Renewal Rates'!$A$22:$A$27,'Renewal Rates'!$B$22:$B$27,'Renewal Rates'!$B$27,0),'Renewal Rates'!$F$7),IF(A740="Renewal",100%,0%))</f>
        <v>0</v>
      </c>
      <c r="U740" s="68">
        <f t="shared" si="11"/>
        <v>0</v>
      </c>
    </row>
    <row r="741" spans="1:21" s="41" customFormat="1" ht="13.8" x14ac:dyDescent="0.3">
      <c r="A741" s="115" t="s">
        <v>21</v>
      </c>
      <c r="B741" s="116">
        <v>2000920470</v>
      </c>
      <c r="C741" s="116">
        <v>3.0539999999999998</v>
      </c>
      <c r="D741" s="117">
        <v>14.3</v>
      </c>
      <c r="E741" s="117"/>
      <c r="F741" s="117">
        <v>225</v>
      </c>
      <c r="G741" s="117">
        <v>600</v>
      </c>
      <c r="H741" s="123"/>
      <c r="I741" s="117" t="s">
        <v>122</v>
      </c>
      <c r="J741" s="115">
        <v>385</v>
      </c>
      <c r="K741" s="115" t="s">
        <v>23</v>
      </c>
      <c r="L741" s="117" t="s">
        <v>24</v>
      </c>
      <c r="M741" s="66">
        <v>77680</v>
      </c>
      <c r="N741" s="66">
        <v>5435</v>
      </c>
      <c r="O741" s="66">
        <v>26411</v>
      </c>
      <c r="P741" s="66">
        <v>104091</v>
      </c>
      <c r="Q741" s="67">
        <v>0.4</v>
      </c>
      <c r="R741" s="66">
        <v>41636</v>
      </c>
      <c r="S741" s="66">
        <v>145727</v>
      </c>
      <c r="T741" s="106">
        <f>IF(A741="Upgrade",IF(OR(H741=4,H741=5),_xlfn.XLOOKUP(I741,'Renewal Rates'!$A$22:$A$27,'Renewal Rates'!$B$22:$B$27,'Renewal Rates'!$B$27,0),'Renewal Rates'!$F$7),IF(A741="Renewal",100%,0%))</f>
        <v>2.6599999999999999E-2</v>
      </c>
      <c r="U741" s="68">
        <f t="shared" si="11"/>
        <v>3876.3381999999997</v>
      </c>
    </row>
    <row r="742" spans="1:21" s="41" customFormat="1" ht="13.8" x14ac:dyDescent="0.3">
      <c r="A742" s="115" t="s">
        <v>21</v>
      </c>
      <c r="B742" s="116">
        <v>2000562656</v>
      </c>
      <c r="C742" s="116">
        <v>3.0539999999999998</v>
      </c>
      <c r="D742" s="117">
        <v>56.6</v>
      </c>
      <c r="E742" s="117"/>
      <c r="F742" s="117">
        <v>525</v>
      </c>
      <c r="G742" s="117">
        <v>600</v>
      </c>
      <c r="H742" s="123">
        <v>4</v>
      </c>
      <c r="I742" s="117">
        <v>2</v>
      </c>
      <c r="J742" s="115">
        <v>385</v>
      </c>
      <c r="K742" s="115" t="s">
        <v>23</v>
      </c>
      <c r="L742" s="117" t="s">
        <v>24</v>
      </c>
      <c r="M742" s="66">
        <v>198103</v>
      </c>
      <c r="N742" s="66">
        <v>3503</v>
      </c>
      <c r="O742" s="66">
        <v>67355</v>
      </c>
      <c r="P742" s="66">
        <v>265459</v>
      </c>
      <c r="Q742" s="67">
        <v>0.4</v>
      </c>
      <c r="R742" s="66">
        <v>106183</v>
      </c>
      <c r="S742" s="66">
        <v>371642</v>
      </c>
      <c r="T742" s="106">
        <f>IF(A742="Upgrade",IF(OR(H742=4,H742=5),_xlfn.XLOOKUP(I742,'Renewal Rates'!$A$22:$A$27,'Renewal Rates'!$B$22:$B$27,'Renewal Rates'!$B$27,0),'Renewal Rates'!$F$7),IF(A742="Renewal",100%,0%))</f>
        <v>0</v>
      </c>
      <c r="U742" s="68">
        <f t="shared" ref="U742:U805" si="12">S742*T742</f>
        <v>0</v>
      </c>
    </row>
    <row r="743" spans="1:21" s="41" customFormat="1" ht="13.8" x14ac:dyDescent="0.3">
      <c r="A743" s="115" t="s">
        <v>25</v>
      </c>
      <c r="B743" s="116" t="s">
        <v>22</v>
      </c>
      <c r="C743" s="116">
        <v>3.0310000000000001</v>
      </c>
      <c r="D743" s="117"/>
      <c r="E743" s="117">
        <v>99.1</v>
      </c>
      <c r="F743" s="117"/>
      <c r="G743" s="117">
        <v>525</v>
      </c>
      <c r="H743" s="123"/>
      <c r="I743" s="117" t="s">
        <v>122</v>
      </c>
      <c r="J743" s="115">
        <v>385</v>
      </c>
      <c r="K743" s="115" t="s">
        <v>23</v>
      </c>
      <c r="L743" s="117" t="s">
        <v>24</v>
      </c>
      <c r="M743" s="66">
        <v>285388</v>
      </c>
      <c r="N743" s="66">
        <v>2879</v>
      </c>
      <c r="O743" s="66">
        <v>97032</v>
      </c>
      <c r="P743" s="66">
        <v>382420</v>
      </c>
      <c r="Q743" s="67">
        <v>0.4</v>
      </c>
      <c r="R743" s="66">
        <v>152968</v>
      </c>
      <c r="S743" s="66">
        <v>535388</v>
      </c>
      <c r="T743" s="106">
        <f>IF(A743="Upgrade",IF(OR(H743=4,H743=5),_xlfn.XLOOKUP(I743,'Renewal Rates'!$A$22:$A$27,'Renewal Rates'!$B$22:$B$27,'Renewal Rates'!$B$27,0),'Renewal Rates'!$F$7),IF(A743="Renewal",100%,0%))</f>
        <v>0</v>
      </c>
      <c r="U743" s="68">
        <f t="shared" si="12"/>
        <v>0</v>
      </c>
    </row>
    <row r="744" spans="1:21" s="41" customFormat="1" ht="13.8" x14ac:dyDescent="0.3">
      <c r="A744" s="115" t="s">
        <v>25</v>
      </c>
      <c r="B744" s="116" t="s">
        <v>22</v>
      </c>
      <c r="C744" s="116">
        <v>3.0339999999999998</v>
      </c>
      <c r="D744" s="117"/>
      <c r="E744" s="117">
        <v>72.5</v>
      </c>
      <c r="F744" s="117"/>
      <c r="G744" s="117">
        <v>375</v>
      </c>
      <c r="H744" s="123"/>
      <c r="I744" s="117" t="s">
        <v>122</v>
      </c>
      <c r="J744" s="115">
        <v>387</v>
      </c>
      <c r="K744" s="115" t="s">
        <v>23</v>
      </c>
      <c r="L744" s="117" t="s">
        <v>24</v>
      </c>
      <c r="M744" s="66">
        <v>160069</v>
      </c>
      <c r="N744" s="66">
        <v>2207</v>
      </c>
      <c r="O744" s="66">
        <v>54423</v>
      </c>
      <c r="P744" s="66">
        <v>214492</v>
      </c>
      <c r="Q744" s="67">
        <v>0.4</v>
      </c>
      <c r="R744" s="66">
        <v>85797</v>
      </c>
      <c r="S744" s="66">
        <v>300289</v>
      </c>
      <c r="T744" s="106">
        <f>IF(A744="Upgrade",IF(OR(H744=4,H744=5),_xlfn.XLOOKUP(I744,'Renewal Rates'!$A$22:$A$27,'Renewal Rates'!$B$22:$B$27,'Renewal Rates'!$B$27,0),'Renewal Rates'!$F$7),IF(A744="Renewal",100%,0%))</f>
        <v>0</v>
      </c>
      <c r="U744" s="68">
        <f t="shared" si="12"/>
        <v>0</v>
      </c>
    </row>
    <row r="745" spans="1:21" s="41" customFormat="1" ht="13.8" x14ac:dyDescent="0.3">
      <c r="A745" s="115" t="s">
        <v>25</v>
      </c>
      <c r="B745" s="116" t="s">
        <v>22</v>
      </c>
      <c r="C745" s="116">
        <v>3.024</v>
      </c>
      <c r="D745" s="117"/>
      <c r="E745" s="117">
        <v>146.19999999999999</v>
      </c>
      <c r="F745" s="117"/>
      <c r="G745" s="117">
        <v>525</v>
      </c>
      <c r="H745" s="123"/>
      <c r="I745" s="117" t="s">
        <v>122</v>
      </c>
      <c r="J745" s="115">
        <v>385</v>
      </c>
      <c r="K745" s="115" t="s">
        <v>23</v>
      </c>
      <c r="L745" s="117" t="s">
        <v>24</v>
      </c>
      <c r="M745" s="66">
        <v>423107</v>
      </c>
      <c r="N745" s="66">
        <v>2894</v>
      </c>
      <c r="O745" s="66">
        <v>143856</v>
      </c>
      <c r="P745" s="66">
        <v>566964</v>
      </c>
      <c r="Q745" s="67">
        <v>0.4</v>
      </c>
      <c r="R745" s="66">
        <v>226786</v>
      </c>
      <c r="S745" s="66">
        <v>793749</v>
      </c>
      <c r="T745" s="106">
        <f>IF(A745="Upgrade",IF(OR(H745=4,H745=5),_xlfn.XLOOKUP(I745,'Renewal Rates'!$A$22:$A$27,'Renewal Rates'!$B$22:$B$27,'Renewal Rates'!$B$27,0),'Renewal Rates'!$F$7),IF(A745="Renewal",100%,0%))</f>
        <v>0</v>
      </c>
      <c r="U745" s="68">
        <f t="shared" si="12"/>
        <v>0</v>
      </c>
    </row>
    <row r="746" spans="1:21" s="41" customFormat="1" ht="13.8" x14ac:dyDescent="0.3">
      <c r="A746" s="115" t="s">
        <v>25</v>
      </c>
      <c r="B746" s="116" t="s">
        <v>22</v>
      </c>
      <c r="C746" s="116">
        <v>3.0329999999999999</v>
      </c>
      <c r="D746" s="117"/>
      <c r="E746" s="117">
        <v>68.5</v>
      </c>
      <c r="F746" s="117"/>
      <c r="G746" s="117">
        <v>525</v>
      </c>
      <c r="H746" s="123"/>
      <c r="I746" s="117" t="s">
        <v>122</v>
      </c>
      <c r="J746" s="115">
        <v>387</v>
      </c>
      <c r="K746" s="115" t="s">
        <v>23</v>
      </c>
      <c r="L746" s="117" t="s">
        <v>24</v>
      </c>
      <c r="M746" s="66">
        <v>236126</v>
      </c>
      <c r="N746" s="66">
        <v>3449</v>
      </c>
      <c r="O746" s="66">
        <v>80283</v>
      </c>
      <c r="P746" s="66">
        <v>316409</v>
      </c>
      <c r="Q746" s="67">
        <v>0.4</v>
      </c>
      <c r="R746" s="66">
        <v>126564</v>
      </c>
      <c r="S746" s="66">
        <v>442973</v>
      </c>
      <c r="T746" s="106">
        <f>IF(A746="Upgrade",IF(OR(H746=4,H746=5),_xlfn.XLOOKUP(I746,'Renewal Rates'!$A$22:$A$27,'Renewal Rates'!$B$22:$B$27,'Renewal Rates'!$B$27,0),'Renewal Rates'!$F$7),IF(A746="Renewal",100%,0%))</f>
        <v>0</v>
      </c>
      <c r="U746" s="68">
        <f t="shared" si="12"/>
        <v>0</v>
      </c>
    </row>
    <row r="747" spans="1:21" s="41" customFormat="1" ht="13.8" x14ac:dyDescent="0.3">
      <c r="A747" s="115" t="s">
        <v>25</v>
      </c>
      <c r="B747" s="116" t="s">
        <v>22</v>
      </c>
      <c r="C747" s="116">
        <v>3.0350000000000001</v>
      </c>
      <c r="D747" s="117"/>
      <c r="E747" s="117">
        <v>62.1</v>
      </c>
      <c r="F747" s="117"/>
      <c r="G747" s="117">
        <v>450</v>
      </c>
      <c r="H747" s="123"/>
      <c r="I747" s="117" t="s">
        <v>122</v>
      </c>
      <c r="J747" s="115">
        <v>387</v>
      </c>
      <c r="K747" s="115" t="s">
        <v>23</v>
      </c>
      <c r="L747" s="117" t="s">
        <v>24</v>
      </c>
      <c r="M747" s="66">
        <v>185719</v>
      </c>
      <c r="N747" s="66">
        <v>2992</v>
      </c>
      <c r="O747" s="66">
        <v>63144</v>
      </c>
      <c r="P747" s="66">
        <v>248863</v>
      </c>
      <c r="Q747" s="67">
        <v>0.4</v>
      </c>
      <c r="R747" s="66">
        <v>99545</v>
      </c>
      <c r="S747" s="66">
        <v>348408</v>
      </c>
      <c r="T747" s="106">
        <f>IF(A747="Upgrade",IF(OR(H747=4,H747=5),_xlfn.XLOOKUP(I747,'Renewal Rates'!$A$22:$A$27,'Renewal Rates'!$B$22:$B$27,'Renewal Rates'!$B$27,0),'Renewal Rates'!$F$7),IF(A747="Renewal",100%,0%))</f>
        <v>0</v>
      </c>
      <c r="U747" s="68">
        <f t="shared" si="12"/>
        <v>0</v>
      </c>
    </row>
    <row r="748" spans="1:21" s="41" customFormat="1" ht="13.8" x14ac:dyDescent="0.3">
      <c r="A748" s="115" t="s">
        <v>25</v>
      </c>
      <c r="B748" s="116" t="s">
        <v>22</v>
      </c>
      <c r="C748" s="116">
        <v>3.032</v>
      </c>
      <c r="D748" s="117"/>
      <c r="E748" s="117">
        <v>98.8</v>
      </c>
      <c r="F748" s="117"/>
      <c r="G748" s="117">
        <v>525</v>
      </c>
      <c r="H748" s="123"/>
      <c r="I748" s="117" t="s">
        <v>122</v>
      </c>
      <c r="J748" s="115">
        <v>387</v>
      </c>
      <c r="K748" s="115" t="s">
        <v>23</v>
      </c>
      <c r="L748" s="117" t="s">
        <v>24</v>
      </c>
      <c r="M748" s="66">
        <v>285144</v>
      </c>
      <c r="N748" s="66">
        <v>2885</v>
      </c>
      <c r="O748" s="66">
        <v>96949</v>
      </c>
      <c r="P748" s="66">
        <v>382093</v>
      </c>
      <c r="Q748" s="67">
        <v>0.4</v>
      </c>
      <c r="R748" s="66">
        <v>152837</v>
      </c>
      <c r="S748" s="66">
        <v>534930</v>
      </c>
      <c r="T748" s="106">
        <f>IF(A748="Upgrade",IF(OR(H748=4,H748=5),_xlfn.XLOOKUP(I748,'Renewal Rates'!$A$22:$A$27,'Renewal Rates'!$B$22:$B$27,'Renewal Rates'!$B$27,0),'Renewal Rates'!$F$7),IF(A748="Renewal",100%,0%))</f>
        <v>0</v>
      </c>
      <c r="U748" s="68">
        <f t="shared" si="12"/>
        <v>0</v>
      </c>
    </row>
    <row r="749" spans="1:21" s="41" customFormat="1" ht="13.8" x14ac:dyDescent="0.3">
      <c r="A749" s="115" t="s">
        <v>25</v>
      </c>
      <c r="B749" s="116" t="s">
        <v>22</v>
      </c>
      <c r="C749" s="116">
        <v>3.0289999999999999</v>
      </c>
      <c r="D749" s="117"/>
      <c r="E749" s="117">
        <v>122.8</v>
      </c>
      <c r="F749" s="117"/>
      <c r="G749" s="117">
        <v>750</v>
      </c>
      <c r="H749" s="123"/>
      <c r="I749" s="117" t="s">
        <v>122</v>
      </c>
      <c r="J749" s="115">
        <v>387</v>
      </c>
      <c r="K749" s="115" t="s">
        <v>23</v>
      </c>
      <c r="L749" s="117" t="s">
        <v>24</v>
      </c>
      <c r="M749" s="66">
        <v>498744</v>
      </c>
      <c r="N749" s="66">
        <v>4062</v>
      </c>
      <c r="O749" s="66">
        <v>169573</v>
      </c>
      <c r="P749" s="66">
        <v>668316</v>
      </c>
      <c r="Q749" s="67">
        <v>0.4</v>
      </c>
      <c r="R749" s="66">
        <v>267327</v>
      </c>
      <c r="S749" s="66">
        <v>935643</v>
      </c>
      <c r="T749" s="106">
        <f>IF(A749="Upgrade",IF(OR(H749=4,H749=5),_xlfn.XLOOKUP(I749,'Renewal Rates'!$A$22:$A$27,'Renewal Rates'!$B$22:$B$27,'Renewal Rates'!$B$27,0),'Renewal Rates'!$F$7),IF(A749="Renewal",100%,0%))</f>
        <v>0</v>
      </c>
      <c r="U749" s="68">
        <f t="shared" si="12"/>
        <v>0</v>
      </c>
    </row>
    <row r="750" spans="1:21" s="41" customFormat="1" ht="13.8" x14ac:dyDescent="0.3">
      <c r="A750" s="115" t="s">
        <v>21</v>
      </c>
      <c r="B750" s="116">
        <v>2000032235</v>
      </c>
      <c r="C750" s="116">
        <v>3.044</v>
      </c>
      <c r="D750" s="117">
        <v>9.3000000000000007</v>
      </c>
      <c r="E750" s="117"/>
      <c r="F750" s="117">
        <v>300</v>
      </c>
      <c r="G750" s="117">
        <v>825</v>
      </c>
      <c r="H750" s="123"/>
      <c r="I750" s="117" t="s">
        <v>122</v>
      </c>
      <c r="J750" s="115">
        <v>387</v>
      </c>
      <c r="K750" s="115" t="s">
        <v>23</v>
      </c>
      <c r="L750" s="117" t="s">
        <v>24</v>
      </c>
      <c r="M750" s="66">
        <v>106166</v>
      </c>
      <c r="N750" s="66">
        <v>11356</v>
      </c>
      <c r="O750" s="66">
        <v>36096</v>
      </c>
      <c r="P750" s="66">
        <v>142262</v>
      </c>
      <c r="Q750" s="67">
        <v>0.4</v>
      </c>
      <c r="R750" s="66">
        <v>56905</v>
      </c>
      <c r="S750" s="66">
        <v>199167</v>
      </c>
      <c r="T750" s="106">
        <f>IF(A750="Upgrade",IF(OR(H750=4,H750=5),_xlfn.XLOOKUP(I750,'Renewal Rates'!$A$22:$A$27,'Renewal Rates'!$B$22:$B$27,'Renewal Rates'!$B$27,0),'Renewal Rates'!$F$7),IF(A750="Renewal",100%,0%))</f>
        <v>2.6599999999999999E-2</v>
      </c>
      <c r="U750" s="68">
        <f t="shared" si="12"/>
        <v>5297.8422</v>
      </c>
    </row>
    <row r="751" spans="1:21" s="41" customFormat="1" ht="13.8" x14ac:dyDescent="0.3">
      <c r="A751" s="115" t="s">
        <v>21</v>
      </c>
      <c r="B751" s="116">
        <v>2000647843</v>
      </c>
      <c r="C751" s="116">
        <v>3.044</v>
      </c>
      <c r="D751" s="117">
        <v>41.1</v>
      </c>
      <c r="E751" s="117"/>
      <c r="F751" s="117">
        <v>300</v>
      </c>
      <c r="G751" s="117">
        <v>825</v>
      </c>
      <c r="H751" s="123">
        <v>4</v>
      </c>
      <c r="I751" s="117">
        <v>2</v>
      </c>
      <c r="J751" s="115">
        <v>387</v>
      </c>
      <c r="K751" s="115" t="s">
        <v>23</v>
      </c>
      <c r="L751" s="117" t="s">
        <v>24</v>
      </c>
      <c r="M751" s="66">
        <v>189400</v>
      </c>
      <c r="N751" s="66">
        <v>4613</v>
      </c>
      <c r="O751" s="66">
        <v>64396</v>
      </c>
      <c r="P751" s="66">
        <v>253797</v>
      </c>
      <c r="Q751" s="67">
        <v>0.4</v>
      </c>
      <c r="R751" s="66">
        <v>101519</v>
      </c>
      <c r="S751" s="66">
        <v>355315</v>
      </c>
      <c r="T751" s="106">
        <f>IF(A751="Upgrade",IF(OR(H751=4,H751=5),_xlfn.XLOOKUP(I751,'Renewal Rates'!$A$22:$A$27,'Renewal Rates'!$B$22:$B$27,'Renewal Rates'!$B$27,0),'Renewal Rates'!$F$7),IF(A751="Renewal",100%,0%))</f>
        <v>0</v>
      </c>
      <c r="U751" s="68">
        <f t="shared" si="12"/>
        <v>0</v>
      </c>
    </row>
    <row r="752" spans="1:21" s="41" customFormat="1" ht="13.8" x14ac:dyDescent="0.3">
      <c r="A752" s="115" t="s">
        <v>21</v>
      </c>
      <c r="B752" s="116">
        <v>2000765076</v>
      </c>
      <c r="C752" s="116">
        <v>3.044</v>
      </c>
      <c r="D752" s="117">
        <v>39.1</v>
      </c>
      <c r="E752" s="117"/>
      <c r="F752" s="117">
        <v>300</v>
      </c>
      <c r="G752" s="117">
        <v>825</v>
      </c>
      <c r="H752" s="123"/>
      <c r="I752" s="117" t="s">
        <v>122</v>
      </c>
      <c r="J752" s="115">
        <v>387</v>
      </c>
      <c r="K752" s="115" t="s">
        <v>23</v>
      </c>
      <c r="L752" s="117" t="s">
        <v>24</v>
      </c>
      <c r="M752" s="66">
        <v>186398</v>
      </c>
      <c r="N752" s="66">
        <v>4769</v>
      </c>
      <c r="O752" s="66">
        <v>63375</v>
      </c>
      <c r="P752" s="66">
        <v>249773</v>
      </c>
      <c r="Q752" s="67">
        <v>0.4</v>
      </c>
      <c r="R752" s="66">
        <v>99909</v>
      </c>
      <c r="S752" s="66">
        <v>349682</v>
      </c>
      <c r="T752" s="106">
        <f>IF(A752="Upgrade",IF(OR(H752=4,H752=5),_xlfn.XLOOKUP(I752,'Renewal Rates'!$A$22:$A$27,'Renewal Rates'!$B$22:$B$27,'Renewal Rates'!$B$27,0),'Renewal Rates'!$F$7),IF(A752="Renewal",100%,0%))</f>
        <v>2.6599999999999999E-2</v>
      </c>
      <c r="U752" s="68">
        <f t="shared" si="12"/>
        <v>9301.5411999999997</v>
      </c>
    </row>
    <row r="753" spans="1:21" s="41" customFormat="1" ht="13.8" x14ac:dyDescent="0.3">
      <c r="A753" s="115" t="s">
        <v>21</v>
      </c>
      <c r="B753" s="116">
        <v>2000470862</v>
      </c>
      <c r="C753" s="116">
        <v>3.044</v>
      </c>
      <c r="D753" s="117">
        <v>19.5</v>
      </c>
      <c r="E753" s="117"/>
      <c r="F753" s="117">
        <v>225</v>
      </c>
      <c r="G753" s="117">
        <v>825</v>
      </c>
      <c r="H753" s="123"/>
      <c r="I753" s="117" t="s">
        <v>122</v>
      </c>
      <c r="J753" s="115">
        <v>387</v>
      </c>
      <c r="K753" s="115" t="s">
        <v>23</v>
      </c>
      <c r="L753" s="117" t="s">
        <v>24</v>
      </c>
      <c r="M753" s="66">
        <v>117670</v>
      </c>
      <c r="N753" s="66">
        <v>6035</v>
      </c>
      <c r="O753" s="66">
        <v>40008</v>
      </c>
      <c r="P753" s="66">
        <v>157678</v>
      </c>
      <c r="Q753" s="67">
        <v>0.4</v>
      </c>
      <c r="R753" s="66">
        <v>63071</v>
      </c>
      <c r="S753" s="66">
        <v>220749</v>
      </c>
      <c r="T753" s="106">
        <f>IF(A753="Upgrade",IF(OR(H753=4,H753=5),_xlfn.XLOOKUP(I753,'Renewal Rates'!$A$22:$A$27,'Renewal Rates'!$B$22:$B$27,'Renewal Rates'!$B$27,0),'Renewal Rates'!$F$7),IF(A753="Renewal",100%,0%))</f>
        <v>2.6599999999999999E-2</v>
      </c>
      <c r="U753" s="68">
        <f t="shared" si="12"/>
        <v>5871.9233999999997</v>
      </c>
    </row>
    <row r="754" spans="1:21" s="41" customFormat="1" ht="13.8" x14ac:dyDescent="0.3">
      <c r="A754" s="115" t="s">
        <v>21</v>
      </c>
      <c r="B754" s="116">
        <v>2000679713</v>
      </c>
      <c r="C754" s="116">
        <v>3.044</v>
      </c>
      <c r="D754" s="117">
        <v>15.6</v>
      </c>
      <c r="E754" s="117">
        <v>0</v>
      </c>
      <c r="F754" s="117">
        <v>225</v>
      </c>
      <c r="G754" s="117">
        <v>825</v>
      </c>
      <c r="H754" s="123"/>
      <c r="I754" s="117" t="s">
        <v>122</v>
      </c>
      <c r="J754" s="115">
        <v>387</v>
      </c>
      <c r="K754" s="115" t="s">
        <v>23</v>
      </c>
      <c r="L754" s="117" t="s">
        <v>24</v>
      </c>
      <c r="M754" s="66">
        <v>88321</v>
      </c>
      <c r="N754" s="66">
        <v>5657</v>
      </c>
      <c r="O754" s="66">
        <v>30029</v>
      </c>
      <c r="P754" s="66">
        <v>118350</v>
      </c>
      <c r="Q754" s="67">
        <v>0.4</v>
      </c>
      <c r="R754" s="66">
        <v>47340</v>
      </c>
      <c r="S754" s="66">
        <v>165690</v>
      </c>
      <c r="T754" s="106">
        <f>IF(A754="Upgrade",IF(OR(H754=4,H754=5),_xlfn.XLOOKUP(I754,'Renewal Rates'!$A$22:$A$27,'Renewal Rates'!$B$22:$B$27,'Renewal Rates'!$B$27,0),'Renewal Rates'!$F$7),IF(A754="Renewal",100%,0%))</f>
        <v>2.6599999999999999E-2</v>
      </c>
      <c r="U754" s="68">
        <f t="shared" si="12"/>
        <v>4407.3539999999994</v>
      </c>
    </row>
    <row r="755" spans="1:21" s="41" customFormat="1" ht="13.8" x14ac:dyDescent="0.3">
      <c r="A755" s="115" t="s">
        <v>21</v>
      </c>
      <c r="B755" s="116">
        <v>2000097457</v>
      </c>
      <c r="C755" s="116">
        <v>3.044</v>
      </c>
      <c r="D755" s="117">
        <v>57.5</v>
      </c>
      <c r="E755" s="117"/>
      <c r="F755" s="117">
        <v>225</v>
      </c>
      <c r="G755" s="117">
        <v>825</v>
      </c>
      <c r="H755" s="123"/>
      <c r="I755" s="117" t="s">
        <v>122</v>
      </c>
      <c r="J755" s="115">
        <v>387</v>
      </c>
      <c r="K755" s="115" t="s">
        <v>23</v>
      </c>
      <c r="L755" s="117" t="s">
        <v>24</v>
      </c>
      <c r="M755" s="66">
        <v>277409</v>
      </c>
      <c r="N755" s="66">
        <v>4822</v>
      </c>
      <c r="O755" s="66">
        <v>94319</v>
      </c>
      <c r="P755" s="66">
        <v>371728</v>
      </c>
      <c r="Q755" s="67">
        <v>0.4</v>
      </c>
      <c r="R755" s="66">
        <v>148691</v>
      </c>
      <c r="S755" s="66">
        <v>520419</v>
      </c>
      <c r="T755" s="106">
        <f>IF(A755="Upgrade",IF(OR(H755=4,H755=5),_xlfn.XLOOKUP(I755,'Renewal Rates'!$A$22:$A$27,'Renewal Rates'!$B$22:$B$27,'Renewal Rates'!$B$27,0),'Renewal Rates'!$F$7),IF(A755="Renewal",100%,0%))</f>
        <v>2.6599999999999999E-2</v>
      </c>
      <c r="U755" s="68">
        <f t="shared" si="12"/>
        <v>13843.145399999999</v>
      </c>
    </row>
    <row r="756" spans="1:21" s="41" customFormat="1" ht="13.8" x14ac:dyDescent="0.3">
      <c r="A756" s="115" t="s">
        <v>21</v>
      </c>
      <c r="B756" s="116">
        <v>3000126067</v>
      </c>
      <c r="C756" s="116">
        <v>3.044</v>
      </c>
      <c r="D756" s="117">
        <v>11.3</v>
      </c>
      <c r="E756" s="117"/>
      <c r="F756" s="117">
        <v>225</v>
      </c>
      <c r="G756" s="117">
        <v>825</v>
      </c>
      <c r="H756" s="123"/>
      <c r="I756" s="117" t="s">
        <v>122</v>
      </c>
      <c r="J756" s="115">
        <v>387</v>
      </c>
      <c r="K756" s="115" t="s">
        <v>23</v>
      </c>
      <c r="L756" s="117" t="s">
        <v>24</v>
      </c>
      <c r="M756" s="66">
        <v>85708</v>
      </c>
      <c r="N756" s="66">
        <v>7598</v>
      </c>
      <c r="O756" s="66">
        <v>29141</v>
      </c>
      <c r="P756" s="66">
        <v>114849</v>
      </c>
      <c r="Q756" s="67">
        <v>0.4</v>
      </c>
      <c r="R756" s="66">
        <v>45940</v>
      </c>
      <c r="S756" s="66">
        <v>160789</v>
      </c>
      <c r="T756" s="106">
        <f>IF(A756="Upgrade",IF(OR(H756=4,H756=5),_xlfn.XLOOKUP(I756,'Renewal Rates'!$A$22:$A$27,'Renewal Rates'!$B$22:$B$27,'Renewal Rates'!$B$27,0),'Renewal Rates'!$F$7),IF(A756="Renewal",100%,0%))</f>
        <v>2.6599999999999999E-2</v>
      </c>
      <c r="U756" s="68">
        <f t="shared" si="12"/>
        <v>4276.9874</v>
      </c>
    </row>
    <row r="757" spans="1:21" s="41" customFormat="1" ht="13.8" x14ac:dyDescent="0.3">
      <c r="A757" s="115" t="s">
        <v>25</v>
      </c>
      <c r="B757" s="116" t="s">
        <v>22</v>
      </c>
      <c r="C757" s="116">
        <v>3.028</v>
      </c>
      <c r="D757" s="117"/>
      <c r="E757" s="117">
        <v>78.5</v>
      </c>
      <c r="F757" s="117"/>
      <c r="G757" s="117">
        <v>525</v>
      </c>
      <c r="H757" s="123"/>
      <c r="I757" s="117" t="s">
        <v>122</v>
      </c>
      <c r="J757" s="115">
        <v>387</v>
      </c>
      <c r="K757" s="115" t="s">
        <v>23</v>
      </c>
      <c r="L757" s="117" t="s">
        <v>24</v>
      </c>
      <c r="M757" s="66">
        <v>247963</v>
      </c>
      <c r="N757" s="66">
        <v>3158</v>
      </c>
      <c r="O757" s="66">
        <v>84307</v>
      </c>
      <c r="P757" s="66">
        <v>332270</v>
      </c>
      <c r="Q757" s="67">
        <v>0.4</v>
      </c>
      <c r="R757" s="66">
        <v>132908</v>
      </c>
      <c r="S757" s="66">
        <v>465178</v>
      </c>
      <c r="T757" s="106">
        <f>IF(A757="Upgrade",IF(OR(H757=4,H757=5),_xlfn.XLOOKUP(I757,'Renewal Rates'!$A$22:$A$27,'Renewal Rates'!$B$22:$B$27,'Renewal Rates'!$B$27,0),'Renewal Rates'!$F$7),IF(A757="Renewal",100%,0%))</f>
        <v>0</v>
      </c>
      <c r="U757" s="68">
        <f t="shared" si="12"/>
        <v>0</v>
      </c>
    </row>
    <row r="758" spans="1:21" s="41" customFormat="1" ht="13.8" x14ac:dyDescent="0.3">
      <c r="A758" s="115" t="s">
        <v>25</v>
      </c>
      <c r="B758" s="116" t="s">
        <v>22</v>
      </c>
      <c r="C758" s="116">
        <v>3.0209999999999999</v>
      </c>
      <c r="D758" s="117"/>
      <c r="E758" s="117">
        <v>73.7</v>
      </c>
      <c r="F758" s="117"/>
      <c r="G758" s="117">
        <v>525</v>
      </c>
      <c r="H758" s="123"/>
      <c r="I758" s="117" t="s">
        <v>122</v>
      </c>
      <c r="J758" s="115">
        <v>387</v>
      </c>
      <c r="K758" s="115" t="s">
        <v>23</v>
      </c>
      <c r="L758" s="117" t="s">
        <v>24</v>
      </c>
      <c r="M758" s="66">
        <v>224323</v>
      </c>
      <c r="N758" s="66">
        <v>3044</v>
      </c>
      <c r="O758" s="66">
        <v>76270</v>
      </c>
      <c r="P758" s="66">
        <v>300592</v>
      </c>
      <c r="Q758" s="67">
        <v>0.4</v>
      </c>
      <c r="R758" s="66">
        <v>120237</v>
      </c>
      <c r="S758" s="66">
        <v>420829</v>
      </c>
      <c r="T758" s="106">
        <f>IF(A758="Upgrade",IF(OR(H758=4,H758=5),_xlfn.XLOOKUP(I758,'Renewal Rates'!$A$22:$A$27,'Renewal Rates'!$B$22:$B$27,'Renewal Rates'!$B$27,0),'Renewal Rates'!$F$7),IF(A758="Renewal",100%,0%))</f>
        <v>0</v>
      </c>
      <c r="U758" s="68">
        <f t="shared" si="12"/>
        <v>0</v>
      </c>
    </row>
    <row r="759" spans="1:21" s="41" customFormat="1" ht="13.8" x14ac:dyDescent="0.3">
      <c r="A759" s="115" t="s">
        <v>21</v>
      </c>
      <c r="B759" s="116">
        <v>2000488518</v>
      </c>
      <c r="C759" s="116">
        <v>3.0369999999999999</v>
      </c>
      <c r="D759" s="117">
        <v>51.6</v>
      </c>
      <c r="E759" s="117"/>
      <c r="F759" s="117">
        <v>225</v>
      </c>
      <c r="G759" s="117">
        <v>1275</v>
      </c>
      <c r="H759" s="123"/>
      <c r="I759" s="117" t="s">
        <v>122</v>
      </c>
      <c r="J759" s="115">
        <v>387</v>
      </c>
      <c r="K759" s="115" t="s">
        <v>23</v>
      </c>
      <c r="L759" s="117" t="s">
        <v>24</v>
      </c>
      <c r="M759" s="66">
        <v>358628</v>
      </c>
      <c r="N759" s="66">
        <v>6955</v>
      </c>
      <c r="O759" s="66">
        <v>121934</v>
      </c>
      <c r="P759" s="66">
        <v>480561</v>
      </c>
      <c r="Q759" s="67">
        <v>0.4</v>
      </c>
      <c r="R759" s="66">
        <v>192225</v>
      </c>
      <c r="S759" s="66">
        <v>672786</v>
      </c>
      <c r="T759" s="106">
        <f>IF(A759="Upgrade",IF(OR(H759=4,H759=5),_xlfn.XLOOKUP(I759,'Renewal Rates'!$A$22:$A$27,'Renewal Rates'!$B$22:$B$27,'Renewal Rates'!$B$27,0),'Renewal Rates'!$F$7),IF(A759="Renewal",100%,0%))</f>
        <v>2.6599999999999999E-2</v>
      </c>
      <c r="U759" s="68">
        <f t="shared" si="12"/>
        <v>17896.107599999999</v>
      </c>
    </row>
    <row r="760" spans="1:21" s="41" customFormat="1" ht="13.8" x14ac:dyDescent="0.3">
      <c r="A760" s="115" t="s">
        <v>21</v>
      </c>
      <c r="B760" s="116">
        <v>2000793373</v>
      </c>
      <c r="C760" s="116">
        <v>3.0369999999999999</v>
      </c>
      <c r="D760" s="117">
        <v>14.8</v>
      </c>
      <c r="E760" s="117"/>
      <c r="F760" s="117">
        <v>225</v>
      </c>
      <c r="G760" s="117">
        <v>1275</v>
      </c>
      <c r="H760" s="123"/>
      <c r="I760" s="117" t="s">
        <v>122</v>
      </c>
      <c r="J760" s="115">
        <v>387</v>
      </c>
      <c r="K760" s="115" t="s">
        <v>23</v>
      </c>
      <c r="L760" s="117" t="s">
        <v>24</v>
      </c>
      <c r="M760" s="66">
        <v>108976</v>
      </c>
      <c r="N760" s="66">
        <v>7359</v>
      </c>
      <c r="O760" s="66">
        <v>37052</v>
      </c>
      <c r="P760" s="66">
        <v>146028</v>
      </c>
      <c r="Q760" s="67">
        <v>0.4</v>
      </c>
      <c r="R760" s="66">
        <v>58411</v>
      </c>
      <c r="S760" s="66">
        <v>204440</v>
      </c>
      <c r="T760" s="106">
        <f>IF(A760="Upgrade",IF(OR(H760=4,H760=5),_xlfn.XLOOKUP(I760,'Renewal Rates'!$A$22:$A$27,'Renewal Rates'!$B$22:$B$27,'Renewal Rates'!$B$27,0),'Renewal Rates'!$F$7),IF(A760="Renewal",100%,0%))</f>
        <v>2.6599999999999999E-2</v>
      </c>
      <c r="U760" s="68">
        <f t="shared" si="12"/>
        <v>5438.1039999999994</v>
      </c>
    </row>
    <row r="761" spans="1:21" s="41" customFormat="1" ht="13.8" x14ac:dyDescent="0.3">
      <c r="A761" s="115" t="s">
        <v>25</v>
      </c>
      <c r="B761" s="116" t="s">
        <v>22</v>
      </c>
      <c r="C761" s="116">
        <v>3.03</v>
      </c>
      <c r="D761" s="117"/>
      <c r="E761" s="117">
        <v>44.1</v>
      </c>
      <c r="F761" s="117"/>
      <c r="G761" s="117">
        <v>375</v>
      </c>
      <c r="H761" s="123"/>
      <c r="I761" s="117" t="s">
        <v>122</v>
      </c>
      <c r="J761" s="115">
        <v>387</v>
      </c>
      <c r="K761" s="115" t="s">
        <v>23</v>
      </c>
      <c r="L761" s="117" t="s">
        <v>24</v>
      </c>
      <c r="M761" s="66">
        <v>95259</v>
      </c>
      <c r="N761" s="66">
        <v>2162</v>
      </c>
      <c r="O761" s="66">
        <v>32388</v>
      </c>
      <c r="P761" s="66">
        <v>127647</v>
      </c>
      <c r="Q761" s="67">
        <v>0.4</v>
      </c>
      <c r="R761" s="66">
        <v>51059</v>
      </c>
      <c r="S761" s="66">
        <v>178706</v>
      </c>
      <c r="T761" s="106">
        <f>IF(A761="Upgrade",IF(OR(H761=4,H761=5),_xlfn.XLOOKUP(I761,'Renewal Rates'!$A$22:$A$27,'Renewal Rates'!$B$22:$B$27,'Renewal Rates'!$B$27,0),'Renewal Rates'!$F$7),IF(A761="Renewal",100%,0%))</f>
        <v>0</v>
      </c>
      <c r="U761" s="68">
        <f t="shared" si="12"/>
        <v>0</v>
      </c>
    </row>
    <row r="762" spans="1:21" s="41" customFormat="1" ht="13.8" x14ac:dyDescent="0.3">
      <c r="A762" s="115" t="s">
        <v>21</v>
      </c>
      <c r="B762" s="116">
        <v>2000580880</v>
      </c>
      <c r="C762" s="116">
        <v>3.0419999999999998</v>
      </c>
      <c r="D762" s="117">
        <v>48.2</v>
      </c>
      <c r="E762" s="117"/>
      <c r="F762" s="117">
        <v>225</v>
      </c>
      <c r="G762" s="117">
        <v>450</v>
      </c>
      <c r="H762" s="123"/>
      <c r="I762" s="117" t="s">
        <v>122</v>
      </c>
      <c r="J762" s="115">
        <v>387</v>
      </c>
      <c r="K762" s="115" t="s">
        <v>23</v>
      </c>
      <c r="L762" s="117" t="s">
        <v>24</v>
      </c>
      <c r="M762" s="66">
        <v>137083</v>
      </c>
      <c r="N762" s="66">
        <v>2842</v>
      </c>
      <c r="O762" s="66">
        <v>46608</v>
      </c>
      <c r="P762" s="66">
        <v>183692</v>
      </c>
      <c r="Q762" s="67">
        <v>0.4</v>
      </c>
      <c r="R762" s="66">
        <v>73477</v>
      </c>
      <c r="S762" s="66">
        <v>257169</v>
      </c>
      <c r="T762" s="106">
        <f>IF(A762="Upgrade",IF(OR(H762=4,H762=5),_xlfn.XLOOKUP(I762,'Renewal Rates'!$A$22:$A$27,'Renewal Rates'!$B$22:$B$27,'Renewal Rates'!$B$27,0),'Renewal Rates'!$F$7),IF(A762="Renewal",100%,0%))</f>
        <v>2.6599999999999999E-2</v>
      </c>
      <c r="U762" s="68">
        <f t="shared" si="12"/>
        <v>6840.6953999999996</v>
      </c>
    </row>
    <row r="763" spans="1:21" s="41" customFormat="1" ht="13.8" x14ac:dyDescent="0.3">
      <c r="A763" s="115" t="s">
        <v>21</v>
      </c>
      <c r="B763" s="116">
        <v>2000192942</v>
      </c>
      <c r="C763" s="116">
        <v>3.0419999999999998</v>
      </c>
      <c r="D763" s="117">
        <v>51</v>
      </c>
      <c r="E763" s="117"/>
      <c r="F763" s="117">
        <v>225</v>
      </c>
      <c r="G763" s="117">
        <v>450</v>
      </c>
      <c r="H763" s="123"/>
      <c r="I763" s="117" t="s">
        <v>122</v>
      </c>
      <c r="J763" s="115">
        <v>387</v>
      </c>
      <c r="K763" s="115" t="s">
        <v>23</v>
      </c>
      <c r="L763" s="117" t="s">
        <v>24</v>
      </c>
      <c r="M763" s="66">
        <v>158393</v>
      </c>
      <c r="N763" s="66">
        <v>3106</v>
      </c>
      <c r="O763" s="66">
        <v>53854</v>
      </c>
      <c r="P763" s="66">
        <v>212246</v>
      </c>
      <c r="Q763" s="67">
        <v>0.4</v>
      </c>
      <c r="R763" s="66">
        <v>84899</v>
      </c>
      <c r="S763" s="66">
        <v>297145</v>
      </c>
      <c r="T763" s="106">
        <f>IF(A763="Upgrade",IF(OR(H763=4,H763=5),_xlfn.XLOOKUP(I763,'Renewal Rates'!$A$22:$A$27,'Renewal Rates'!$B$22:$B$27,'Renewal Rates'!$B$27,0),'Renewal Rates'!$F$7),IF(A763="Renewal",100%,0%))</f>
        <v>2.6599999999999999E-2</v>
      </c>
      <c r="U763" s="68">
        <f t="shared" si="12"/>
        <v>7904.0569999999998</v>
      </c>
    </row>
    <row r="764" spans="1:21" s="41" customFormat="1" ht="13.8" x14ac:dyDescent="0.3">
      <c r="A764" s="115" t="s">
        <v>21</v>
      </c>
      <c r="B764" s="116">
        <v>2000884109</v>
      </c>
      <c r="C764" s="116">
        <v>3.0409999999999999</v>
      </c>
      <c r="D764" s="117">
        <v>34.5</v>
      </c>
      <c r="E764" s="117"/>
      <c r="F764" s="117">
        <v>150</v>
      </c>
      <c r="G764" s="117">
        <v>525</v>
      </c>
      <c r="H764" s="123"/>
      <c r="I764" s="117" t="s">
        <v>122</v>
      </c>
      <c r="J764" s="115">
        <v>387</v>
      </c>
      <c r="K764" s="115" t="s">
        <v>23</v>
      </c>
      <c r="L764" s="117" t="s">
        <v>24</v>
      </c>
      <c r="M764" s="66">
        <v>112884</v>
      </c>
      <c r="N764" s="66">
        <v>3276</v>
      </c>
      <c r="O764" s="66">
        <v>38380</v>
      </c>
      <c r="P764" s="66">
        <v>151264</v>
      </c>
      <c r="Q764" s="67">
        <v>0.4</v>
      </c>
      <c r="R764" s="66">
        <v>60506</v>
      </c>
      <c r="S764" s="66">
        <v>211770</v>
      </c>
      <c r="T764" s="106">
        <f>IF(A764="Upgrade",IF(OR(H764=4,H764=5),_xlfn.XLOOKUP(I764,'Renewal Rates'!$A$22:$A$27,'Renewal Rates'!$B$22:$B$27,'Renewal Rates'!$B$27,0),'Renewal Rates'!$F$7),IF(A764="Renewal",100%,0%))</f>
        <v>2.6599999999999999E-2</v>
      </c>
      <c r="U764" s="68">
        <f t="shared" si="12"/>
        <v>5633.0819999999994</v>
      </c>
    </row>
    <row r="765" spans="1:21" s="41" customFormat="1" ht="13.8" x14ac:dyDescent="0.3">
      <c r="A765" s="115" t="s">
        <v>21</v>
      </c>
      <c r="B765" s="116">
        <v>2000497060</v>
      </c>
      <c r="C765" s="116">
        <v>3.0409999999999999</v>
      </c>
      <c r="D765" s="117">
        <v>25.5</v>
      </c>
      <c r="E765" s="117"/>
      <c r="F765" s="117">
        <v>225</v>
      </c>
      <c r="G765" s="117">
        <v>525</v>
      </c>
      <c r="H765" s="123"/>
      <c r="I765" s="117" t="s">
        <v>122</v>
      </c>
      <c r="J765" s="115">
        <v>387</v>
      </c>
      <c r="K765" s="115" t="s">
        <v>23</v>
      </c>
      <c r="L765" s="117" t="s">
        <v>24</v>
      </c>
      <c r="M765" s="66">
        <v>85617</v>
      </c>
      <c r="N765" s="66">
        <v>3359</v>
      </c>
      <c r="O765" s="66">
        <v>29110</v>
      </c>
      <c r="P765" s="66">
        <v>114727</v>
      </c>
      <c r="Q765" s="67">
        <v>0.4</v>
      </c>
      <c r="R765" s="66">
        <v>45891</v>
      </c>
      <c r="S765" s="66">
        <v>160618</v>
      </c>
      <c r="T765" s="106">
        <f>IF(A765="Upgrade",IF(OR(H765=4,H765=5),_xlfn.XLOOKUP(I765,'Renewal Rates'!$A$22:$A$27,'Renewal Rates'!$B$22:$B$27,'Renewal Rates'!$B$27,0),'Renewal Rates'!$F$7),IF(A765="Renewal",100%,0%))</f>
        <v>2.6599999999999999E-2</v>
      </c>
      <c r="U765" s="68">
        <f t="shared" si="12"/>
        <v>4272.4387999999999</v>
      </c>
    </row>
    <row r="766" spans="1:21" s="41" customFormat="1" ht="13.8" x14ac:dyDescent="0.3">
      <c r="A766" s="115" t="s">
        <v>21</v>
      </c>
      <c r="B766" s="116">
        <v>2000194954</v>
      </c>
      <c r="C766" s="116">
        <v>3.0409999999999999</v>
      </c>
      <c r="D766" s="117">
        <v>9.6</v>
      </c>
      <c r="E766" s="117"/>
      <c r="F766" s="117">
        <v>225</v>
      </c>
      <c r="G766" s="117">
        <v>525</v>
      </c>
      <c r="H766" s="123"/>
      <c r="I766" s="117" t="s">
        <v>122</v>
      </c>
      <c r="J766" s="115">
        <v>387</v>
      </c>
      <c r="K766" s="115" t="s">
        <v>23</v>
      </c>
      <c r="L766" s="117" t="s">
        <v>24</v>
      </c>
      <c r="M766" s="66">
        <v>52288</v>
      </c>
      <c r="N766" s="66">
        <v>5459</v>
      </c>
      <c r="O766" s="66">
        <v>17778</v>
      </c>
      <c r="P766" s="66">
        <v>70065</v>
      </c>
      <c r="Q766" s="67">
        <v>0.4</v>
      </c>
      <c r="R766" s="66">
        <v>28026</v>
      </c>
      <c r="S766" s="66">
        <v>98092</v>
      </c>
      <c r="T766" s="106">
        <f>IF(A766="Upgrade",IF(OR(H766=4,H766=5),_xlfn.XLOOKUP(I766,'Renewal Rates'!$A$22:$A$27,'Renewal Rates'!$B$22:$B$27,'Renewal Rates'!$B$27,0),'Renewal Rates'!$F$7),IF(A766="Renewal",100%,0%))</f>
        <v>2.6599999999999999E-2</v>
      </c>
      <c r="U766" s="68">
        <f t="shared" si="12"/>
        <v>2609.2471999999998</v>
      </c>
    </row>
    <row r="767" spans="1:21" s="41" customFormat="1" ht="13.8" x14ac:dyDescent="0.3">
      <c r="A767" s="115" t="s">
        <v>21</v>
      </c>
      <c r="B767" s="116">
        <v>2000420663</v>
      </c>
      <c r="C767" s="116">
        <v>3.0409999999999999</v>
      </c>
      <c r="D767" s="117">
        <v>22.4</v>
      </c>
      <c r="E767" s="117"/>
      <c r="F767" s="117">
        <v>225</v>
      </c>
      <c r="G767" s="117">
        <v>525</v>
      </c>
      <c r="H767" s="123"/>
      <c r="I767" s="117" t="s">
        <v>122</v>
      </c>
      <c r="J767" s="115">
        <v>387</v>
      </c>
      <c r="K767" s="115" t="s">
        <v>23</v>
      </c>
      <c r="L767" s="117" t="s">
        <v>24</v>
      </c>
      <c r="M767" s="66">
        <v>99310</v>
      </c>
      <c r="N767" s="66">
        <v>4431</v>
      </c>
      <c r="O767" s="66">
        <v>33765</v>
      </c>
      <c r="P767" s="66">
        <v>133076</v>
      </c>
      <c r="Q767" s="67">
        <v>0.4</v>
      </c>
      <c r="R767" s="66">
        <v>53230</v>
      </c>
      <c r="S767" s="66">
        <v>186306</v>
      </c>
      <c r="T767" s="106">
        <f>IF(A767="Upgrade",IF(OR(H767=4,H767=5),_xlfn.XLOOKUP(I767,'Renewal Rates'!$A$22:$A$27,'Renewal Rates'!$B$22:$B$27,'Renewal Rates'!$B$27,0),'Renewal Rates'!$F$7),IF(A767="Renewal",100%,0%))</f>
        <v>2.6599999999999999E-2</v>
      </c>
      <c r="U767" s="68">
        <f t="shared" si="12"/>
        <v>4955.7395999999999</v>
      </c>
    </row>
    <row r="768" spans="1:21" s="41" customFormat="1" ht="13.8" x14ac:dyDescent="0.3">
      <c r="A768" s="115" t="s">
        <v>21</v>
      </c>
      <c r="B768" s="116">
        <v>2000825343</v>
      </c>
      <c r="C768" s="116">
        <v>3.0409999999999999</v>
      </c>
      <c r="D768" s="117">
        <v>15.6</v>
      </c>
      <c r="E768" s="117"/>
      <c r="F768" s="117">
        <v>225</v>
      </c>
      <c r="G768" s="117">
        <v>525</v>
      </c>
      <c r="H768" s="123"/>
      <c r="I768" s="117" t="s">
        <v>122</v>
      </c>
      <c r="J768" s="115">
        <v>387</v>
      </c>
      <c r="K768" s="115" t="s">
        <v>23</v>
      </c>
      <c r="L768" s="117" t="s">
        <v>24</v>
      </c>
      <c r="M768" s="66">
        <v>77012</v>
      </c>
      <c r="N768" s="66">
        <v>4926</v>
      </c>
      <c r="O768" s="66">
        <v>26184</v>
      </c>
      <c r="P768" s="66">
        <v>103196</v>
      </c>
      <c r="Q768" s="67">
        <v>0.4</v>
      </c>
      <c r="R768" s="66">
        <v>41278</v>
      </c>
      <c r="S768" s="66">
        <v>144474</v>
      </c>
      <c r="T768" s="106">
        <f>IF(A768="Upgrade",IF(OR(H768=4,H768=5),_xlfn.XLOOKUP(I768,'Renewal Rates'!$A$22:$A$27,'Renewal Rates'!$B$22:$B$27,'Renewal Rates'!$B$27,0),'Renewal Rates'!$F$7),IF(A768="Renewal",100%,0%))</f>
        <v>2.6599999999999999E-2</v>
      </c>
      <c r="U768" s="68">
        <f t="shared" si="12"/>
        <v>3843.0083999999997</v>
      </c>
    </row>
    <row r="769" spans="1:21" s="41" customFormat="1" ht="13.8" x14ac:dyDescent="0.3">
      <c r="A769" s="115" t="s">
        <v>21</v>
      </c>
      <c r="B769" s="116">
        <v>2000038519</v>
      </c>
      <c r="C769" s="116">
        <v>3.0409999999999999</v>
      </c>
      <c r="D769" s="117">
        <v>6.2</v>
      </c>
      <c r="E769" s="117">
        <v>0</v>
      </c>
      <c r="F769" s="117">
        <v>225</v>
      </c>
      <c r="G769" s="117">
        <v>525</v>
      </c>
      <c r="H769" s="123"/>
      <c r="I769" s="117" t="s">
        <v>122</v>
      </c>
      <c r="J769" s="115">
        <v>387</v>
      </c>
      <c r="K769" s="115" t="s">
        <v>23</v>
      </c>
      <c r="L769" s="117" t="s">
        <v>24</v>
      </c>
      <c r="M769" s="66">
        <v>49328</v>
      </c>
      <c r="N769" s="66">
        <v>7971</v>
      </c>
      <c r="O769" s="66">
        <v>16772</v>
      </c>
      <c r="P769" s="66">
        <v>66099</v>
      </c>
      <c r="Q769" s="67">
        <v>0.4</v>
      </c>
      <c r="R769" s="66">
        <v>26440</v>
      </c>
      <c r="S769" s="66">
        <v>92539</v>
      </c>
      <c r="T769" s="106">
        <f>IF(A769="Upgrade",IF(OR(H769=4,H769=5),_xlfn.XLOOKUP(I769,'Renewal Rates'!$A$22:$A$27,'Renewal Rates'!$B$22:$B$27,'Renewal Rates'!$B$27,0),'Renewal Rates'!$F$7),IF(A769="Renewal",100%,0%))</f>
        <v>2.6599999999999999E-2</v>
      </c>
      <c r="U769" s="68">
        <f t="shared" si="12"/>
        <v>2461.5373999999997</v>
      </c>
    </row>
    <row r="770" spans="1:21" s="41" customFormat="1" ht="13.8" x14ac:dyDescent="0.3">
      <c r="A770" s="115" t="s">
        <v>21</v>
      </c>
      <c r="B770" s="116">
        <v>2000391422</v>
      </c>
      <c r="C770" s="116">
        <v>3.0409999999999999</v>
      </c>
      <c r="D770" s="117">
        <v>26.4</v>
      </c>
      <c r="E770" s="117"/>
      <c r="F770" s="117">
        <v>225</v>
      </c>
      <c r="G770" s="117">
        <v>525</v>
      </c>
      <c r="H770" s="123"/>
      <c r="I770" s="117" t="s">
        <v>122</v>
      </c>
      <c r="J770" s="115">
        <v>387</v>
      </c>
      <c r="K770" s="115" t="s">
        <v>23</v>
      </c>
      <c r="L770" s="117" t="s">
        <v>24</v>
      </c>
      <c r="M770" s="66">
        <v>105879</v>
      </c>
      <c r="N770" s="66">
        <v>4005</v>
      </c>
      <c r="O770" s="66">
        <v>35999</v>
      </c>
      <c r="P770" s="66">
        <v>141878</v>
      </c>
      <c r="Q770" s="67">
        <v>0.4</v>
      </c>
      <c r="R770" s="66">
        <v>56751</v>
      </c>
      <c r="S770" s="66">
        <v>198629</v>
      </c>
      <c r="T770" s="106">
        <f>IF(A770="Upgrade",IF(OR(H770=4,H770=5),_xlfn.XLOOKUP(I770,'Renewal Rates'!$A$22:$A$27,'Renewal Rates'!$B$22:$B$27,'Renewal Rates'!$B$27,0),'Renewal Rates'!$F$7),IF(A770="Renewal",100%,0%))</f>
        <v>2.6599999999999999E-2</v>
      </c>
      <c r="U770" s="68">
        <f t="shared" si="12"/>
        <v>5283.5313999999998</v>
      </c>
    </row>
    <row r="771" spans="1:21" s="41" customFormat="1" ht="13.8" x14ac:dyDescent="0.3">
      <c r="A771" s="115" t="s">
        <v>21</v>
      </c>
      <c r="B771" s="116">
        <v>2000105747</v>
      </c>
      <c r="C771" s="116">
        <v>3.0379999999999998</v>
      </c>
      <c r="D771" s="117">
        <v>65.599999999999994</v>
      </c>
      <c r="E771" s="117"/>
      <c r="F771" s="117">
        <v>300</v>
      </c>
      <c r="G771" s="117">
        <v>975</v>
      </c>
      <c r="H771" s="123"/>
      <c r="I771" s="117" t="s">
        <v>122</v>
      </c>
      <c r="J771" s="115">
        <v>386</v>
      </c>
      <c r="K771" s="115" t="s">
        <v>23</v>
      </c>
      <c r="L771" s="117" t="s">
        <v>24</v>
      </c>
      <c r="M771" s="66">
        <v>408911</v>
      </c>
      <c r="N771" s="66">
        <v>6233</v>
      </c>
      <c r="O771" s="66">
        <v>139030</v>
      </c>
      <c r="P771" s="66">
        <v>547941</v>
      </c>
      <c r="Q771" s="67">
        <v>0.4</v>
      </c>
      <c r="R771" s="66">
        <v>219176</v>
      </c>
      <c r="S771" s="66">
        <v>767117</v>
      </c>
      <c r="T771" s="106">
        <f>IF(A771="Upgrade",IF(OR(H771=4,H771=5),_xlfn.XLOOKUP(I771,'Renewal Rates'!$A$22:$A$27,'Renewal Rates'!$B$22:$B$27,'Renewal Rates'!$B$27,0),'Renewal Rates'!$F$7),IF(A771="Renewal",100%,0%))</f>
        <v>2.6599999999999999E-2</v>
      </c>
      <c r="U771" s="68">
        <f t="shared" si="12"/>
        <v>20405.3122</v>
      </c>
    </row>
    <row r="772" spans="1:21" s="41" customFormat="1" ht="13.8" x14ac:dyDescent="0.3">
      <c r="A772" s="115" t="s">
        <v>21</v>
      </c>
      <c r="B772" s="116">
        <v>2000881721</v>
      </c>
      <c r="C772" s="116">
        <v>3.0379999999999998</v>
      </c>
      <c r="D772" s="117">
        <v>14.3</v>
      </c>
      <c r="E772" s="117"/>
      <c r="F772" s="117">
        <v>300</v>
      </c>
      <c r="G772" s="117">
        <v>975</v>
      </c>
      <c r="H772" s="123"/>
      <c r="I772" s="117" t="s">
        <v>122</v>
      </c>
      <c r="J772" s="115">
        <v>386</v>
      </c>
      <c r="K772" s="115" t="s">
        <v>23</v>
      </c>
      <c r="L772" s="117" t="s">
        <v>24</v>
      </c>
      <c r="M772" s="66">
        <v>116242</v>
      </c>
      <c r="N772" s="66">
        <v>8121</v>
      </c>
      <c r="O772" s="66">
        <v>39522</v>
      </c>
      <c r="P772" s="66">
        <v>155764</v>
      </c>
      <c r="Q772" s="67">
        <v>0.4</v>
      </c>
      <c r="R772" s="66">
        <v>62306</v>
      </c>
      <c r="S772" s="66">
        <v>218070</v>
      </c>
      <c r="T772" s="106">
        <f>IF(A772="Upgrade",IF(OR(H772=4,H772=5),_xlfn.XLOOKUP(I772,'Renewal Rates'!$A$22:$A$27,'Renewal Rates'!$B$22:$B$27,'Renewal Rates'!$B$27,0),'Renewal Rates'!$F$7),IF(A772="Renewal",100%,0%))</f>
        <v>2.6599999999999999E-2</v>
      </c>
      <c r="U772" s="68">
        <f t="shared" si="12"/>
        <v>5800.6619999999994</v>
      </c>
    </row>
    <row r="773" spans="1:21" s="41" customFormat="1" ht="13.8" x14ac:dyDescent="0.3">
      <c r="A773" s="115" t="s">
        <v>21</v>
      </c>
      <c r="B773" s="116">
        <v>2000188334</v>
      </c>
      <c r="C773" s="116">
        <v>3.0379999999999998</v>
      </c>
      <c r="D773" s="117">
        <v>11.1</v>
      </c>
      <c r="E773" s="117"/>
      <c r="F773" s="117">
        <v>300</v>
      </c>
      <c r="G773" s="117">
        <v>975</v>
      </c>
      <c r="H773" s="123"/>
      <c r="I773" s="117" t="s">
        <v>122</v>
      </c>
      <c r="J773" s="115">
        <v>386</v>
      </c>
      <c r="K773" s="115" t="s">
        <v>23</v>
      </c>
      <c r="L773" s="117" t="s">
        <v>24</v>
      </c>
      <c r="M773" s="66">
        <v>110191</v>
      </c>
      <c r="N773" s="66">
        <v>9970</v>
      </c>
      <c r="O773" s="66">
        <v>37465</v>
      </c>
      <c r="P773" s="66">
        <v>147656</v>
      </c>
      <c r="Q773" s="67">
        <v>0.4</v>
      </c>
      <c r="R773" s="66">
        <v>59062</v>
      </c>
      <c r="S773" s="66">
        <v>206718</v>
      </c>
      <c r="T773" s="106">
        <f>IF(A773="Upgrade",IF(OR(H773=4,H773=5),_xlfn.XLOOKUP(I773,'Renewal Rates'!$A$22:$A$27,'Renewal Rates'!$B$22:$B$27,'Renewal Rates'!$B$27,0),'Renewal Rates'!$F$7),IF(A773="Renewal",100%,0%))</f>
        <v>2.6599999999999999E-2</v>
      </c>
      <c r="U773" s="68">
        <f t="shared" si="12"/>
        <v>5498.6988000000001</v>
      </c>
    </row>
    <row r="774" spans="1:21" s="41" customFormat="1" ht="13.8" x14ac:dyDescent="0.3">
      <c r="A774" s="115" t="s">
        <v>25</v>
      </c>
      <c r="B774" s="116" t="s">
        <v>22</v>
      </c>
      <c r="C774" s="116">
        <v>3.016</v>
      </c>
      <c r="D774" s="117"/>
      <c r="E774" s="117">
        <v>57.2</v>
      </c>
      <c r="F774" s="117"/>
      <c r="G774" s="117">
        <v>375</v>
      </c>
      <c r="H774" s="123"/>
      <c r="I774" s="117" t="s">
        <v>122</v>
      </c>
      <c r="J774" s="115">
        <v>385</v>
      </c>
      <c r="K774" s="115" t="s">
        <v>23</v>
      </c>
      <c r="L774" s="117" t="s">
        <v>24</v>
      </c>
      <c r="M774" s="66">
        <v>135384</v>
      </c>
      <c r="N774" s="66">
        <v>2368</v>
      </c>
      <c r="O774" s="66">
        <v>46031</v>
      </c>
      <c r="P774" s="66">
        <v>181415</v>
      </c>
      <c r="Q774" s="67">
        <v>0.4</v>
      </c>
      <c r="R774" s="66">
        <v>72566</v>
      </c>
      <c r="S774" s="66">
        <v>253981</v>
      </c>
      <c r="T774" s="106">
        <f>IF(A774="Upgrade",IF(OR(H774=4,H774=5),_xlfn.XLOOKUP(I774,'Renewal Rates'!$A$22:$A$27,'Renewal Rates'!$B$22:$B$27,'Renewal Rates'!$B$27,0),'Renewal Rates'!$F$7),IF(A774="Renewal",100%,0%))</f>
        <v>0</v>
      </c>
      <c r="U774" s="68">
        <f t="shared" si="12"/>
        <v>0</v>
      </c>
    </row>
    <row r="775" spans="1:21" s="41" customFormat="1" ht="13.8" x14ac:dyDescent="0.3">
      <c r="A775" s="115" t="s">
        <v>25</v>
      </c>
      <c r="B775" s="116" t="s">
        <v>22</v>
      </c>
      <c r="C775" s="116">
        <v>3.0579999999999998</v>
      </c>
      <c r="D775" s="117"/>
      <c r="E775" s="117">
        <v>167</v>
      </c>
      <c r="F775" s="117"/>
      <c r="G775" s="117">
        <v>900</v>
      </c>
      <c r="H775" s="123"/>
      <c r="I775" s="117" t="s">
        <v>122</v>
      </c>
      <c r="J775" s="115">
        <v>385</v>
      </c>
      <c r="K775" s="115" t="s">
        <v>23</v>
      </c>
      <c r="L775" s="117" t="s">
        <v>24</v>
      </c>
      <c r="M775" s="66">
        <v>904536</v>
      </c>
      <c r="N775" s="66">
        <v>5415</v>
      </c>
      <c r="O775" s="66">
        <v>307542</v>
      </c>
      <c r="P775" s="66">
        <v>1212079</v>
      </c>
      <c r="Q775" s="67">
        <v>0.4</v>
      </c>
      <c r="R775" s="66">
        <v>484831</v>
      </c>
      <c r="S775" s="66">
        <v>1696910</v>
      </c>
      <c r="T775" s="106">
        <f>IF(A775="Upgrade",IF(OR(H775=4,H775=5),_xlfn.XLOOKUP(I775,'Renewal Rates'!$A$22:$A$27,'Renewal Rates'!$B$22:$B$27,'Renewal Rates'!$B$27,0),'Renewal Rates'!$F$7),IF(A775="Renewal",100%,0%))</f>
        <v>0</v>
      </c>
      <c r="U775" s="68">
        <f t="shared" si="12"/>
        <v>0</v>
      </c>
    </row>
    <row r="776" spans="1:21" s="41" customFormat="1" ht="13.8" x14ac:dyDescent="0.3">
      <c r="A776" s="115" t="s">
        <v>25</v>
      </c>
      <c r="B776" s="116" t="s">
        <v>22</v>
      </c>
      <c r="C776" s="116">
        <v>3.0049999999999999</v>
      </c>
      <c r="D776" s="117"/>
      <c r="E776" s="117">
        <v>168.5</v>
      </c>
      <c r="F776" s="117"/>
      <c r="G776" s="117">
        <v>675</v>
      </c>
      <c r="H776" s="123"/>
      <c r="I776" s="117" t="s">
        <v>122</v>
      </c>
      <c r="J776" s="115">
        <v>385</v>
      </c>
      <c r="K776" s="115" t="s">
        <v>23</v>
      </c>
      <c r="L776" s="117" t="s">
        <v>24</v>
      </c>
      <c r="M776" s="66">
        <v>637522</v>
      </c>
      <c r="N776" s="66">
        <v>3783</v>
      </c>
      <c r="O776" s="66">
        <v>216758</v>
      </c>
      <c r="P776" s="66">
        <v>854280</v>
      </c>
      <c r="Q776" s="67">
        <v>0.4</v>
      </c>
      <c r="R776" s="66">
        <v>341712</v>
      </c>
      <c r="S776" s="66">
        <v>1195992</v>
      </c>
      <c r="T776" s="106">
        <f>IF(A776="Upgrade",IF(OR(H776=4,H776=5),_xlfn.XLOOKUP(I776,'Renewal Rates'!$A$22:$A$27,'Renewal Rates'!$B$22:$B$27,'Renewal Rates'!$B$27,0),'Renewal Rates'!$F$7),IF(A776="Renewal",100%,0%))</f>
        <v>0</v>
      </c>
      <c r="U776" s="68">
        <f t="shared" si="12"/>
        <v>0</v>
      </c>
    </row>
    <row r="777" spans="1:21" s="41" customFormat="1" ht="13.8" x14ac:dyDescent="0.3">
      <c r="A777" s="115" t="s">
        <v>25</v>
      </c>
      <c r="B777" s="116" t="s">
        <v>22</v>
      </c>
      <c r="C777" s="116">
        <v>3.0059999999999998</v>
      </c>
      <c r="D777" s="117"/>
      <c r="E777" s="117">
        <v>183.8</v>
      </c>
      <c r="F777" s="117"/>
      <c r="G777" s="117">
        <v>600</v>
      </c>
      <c r="H777" s="123"/>
      <c r="I777" s="117" t="s">
        <v>122</v>
      </c>
      <c r="J777" s="115">
        <v>386</v>
      </c>
      <c r="K777" s="115" t="s">
        <v>23</v>
      </c>
      <c r="L777" s="117" t="s">
        <v>24</v>
      </c>
      <c r="M777" s="66">
        <v>580335</v>
      </c>
      <c r="N777" s="66">
        <v>3157</v>
      </c>
      <c r="O777" s="66">
        <v>197314</v>
      </c>
      <c r="P777" s="66">
        <v>777649</v>
      </c>
      <c r="Q777" s="67">
        <v>0.4</v>
      </c>
      <c r="R777" s="66">
        <v>311060</v>
      </c>
      <c r="S777" s="66">
        <v>1088708</v>
      </c>
      <c r="T777" s="106">
        <f>IF(A777="Upgrade",IF(OR(H777=4,H777=5),_xlfn.XLOOKUP(I777,'Renewal Rates'!$A$22:$A$27,'Renewal Rates'!$B$22:$B$27,'Renewal Rates'!$B$27,0),'Renewal Rates'!$F$7),IF(A777="Renewal",100%,0%))</f>
        <v>0</v>
      </c>
      <c r="U777" s="68">
        <f t="shared" si="12"/>
        <v>0</v>
      </c>
    </row>
    <row r="778" spans="1:21" s="41" customFormat="1" ht="13.8" x14ac:dyDescent="0.3">
      <c r="A778" s="115" t="s">
        <v>25</v>
      </c>
      <c r="B778" s="116" t="s">
        <v>22</v>
      </c>
      <c r="C778" s="116">
        <v>3.0270000000000001</v>
      </c>
      <c r="D778" s="117"/>
      <c r="E778" s="117">
        <v>33.4</v>
      </c>
      <c r="F778" s="117"/>
      <c r="G778" s="117">
        <v>375</v>
      </c>
      <c r="H778" s="123"/>
      <c r="I778" s="117" t="s">
        <v>122</v>
      </c>
      <c r="J778" s="115">
        <v>387</v>
      </c>
      <c r="K778" s="115" t="s">
        <v>23</v>
      </c>
      <c r="L778" s="117" t="s">
        <v>24</v>
      </c>
      <c r="M778" s="66">
        <v>102597</v>
      </c>
      <c r="N778" s="66">
        <v>3075</v>
      </c>
      <c r="O778" s="66">
        <v>34883</v>
      </c>
      <c r="P778" s="66">
        <v>137480</v>
      </c>
      <c r="Q778" s="67">
        <v>0.4</v>
      </c>
      <c r="R778" s="66">
        <v>54992</v>
      </c>
      <c r="S778" s="66">
        <v>192472</v>
      </c>
      <c r="T778" s="106">
        <f>IF(A778="Upgrade",IF(OR(H778=4,H778=5),_xlfn.XLOOKUP(I778,'Renewal Rates'!$A$22:$A$27,'Renewal Rates'!$B$22:$B$27,'Renewal Rates'!$B$27,0),'Renewal Rates'!$F$7),IF(A778="Renewal",100%,0%))</f>
        <v>0</v>
      </c>
      <c r="U778" s="68">
        <f t="shared" si="12"/>
        <v>0</v>
      </c>
    </row>
    <row r="779" spans="1:21" s="41" customFormat="1" ht="13.8" x14ac:dyDescent="0.3">
      <c r="A779" s="115" t="s">
        <v>25</v>
      </c>
      <c r="B779" s="116" t="s">
        <v>22</v>
      </c>
      <c r="C779" s="116">
        <v>3.0259999999999998</v>
      </c>
      <c r="D779" s="117"/>
      <c r="E779" s="117">
        <v>105.7</v>
      </c>
      <c r="F779" s="117"/>
      <c r="G779" s="117">
        <v>525</v>
      </c>
      <c r="H779" s="123"/>
      <c r="I779" s="117" t="s">
        <v>122</v>
      </c>
      <c r="J779" s="115">
        <v>387</v>
      </c>
      <c r="K779" s="115" t="s">
        <v>23</v>
      </c>
      <c r="L779" s="117" t="s">
        <v>24</v>
      </c>
      <c r="M779" s="66">
        <v>329425</v>
      </c>
      <c r="N779" s="66">
        <v>3117</v>
      </c>
      <c r="O779" s="66">
        <v>112004</v>
      </c>
      <c r="P779" s="66">
        <v>441429</v>
      </c>
      <c r="Q779" s="67">
        <v>0.4</v>
      </c>
      <c r="R779" s="66">
        <v>176572</v>
      </c>
      <c r="S779" s="66">
        <v>618001</v>
      </c>
      <c r="T779" s="106">
        <f>IF(A779="Upgrade",IF(OR(H779=4,H779=5),_xlfn.XLOOKUP(I779,'Renewal Rates'!$A$22:$A$27,'Renewal Rates'!$B$22:$B$27,'Renewal Rates'!$B$27,0),'Renewal Rates'!$F$7),IF(A779="Renewal",100%,0%))</f>
        <v>0</v>
      </c>
      <c r="U779" s="68">
        <f t="shared" si="12"/>
        <v>0</v>
      </c>
    </row>
    <row r="780" spans="1:21" s="41" customFormat="1" ht="13.8" x14ac:dyDescent="0.3">
      <c r="A780" s="115" t="s">
        <v>21</v>
      </c>
      <c r="B780" s="116">
        <v>2000317962</v>
      </c>
      <c r="C780" s="116">
        <v>3.0459999999999998</v>
      </c>
      <c r="D780" s="117">
        <v>13.4</v>
      </c>
      <c r="E780" s="117"/>
      <c r="F780" s="117">
        <v>300</v>
      </c>
      <c r="G780" s="117">
        <v>975</v>
      </c>
      <c r="H780" s="123"/>
      <c r="I780" s="117" t="s">
        <v>122</v>
      </c>
      <c r="J780" s="115">
        <v>386</v>
      </c>
      <c r="K780" s="115" t="s">
        <v>23</v>
      </c>
      <c r="L780" s="117" t="s">
        <v>24</v>
      </c>
      <c r="M780" s="66">
        <v>114633</v>
      </c>
      <c r="N780" s="66">
        <v>8525</v>
      </c>
      <c r="O780" s="66">
        <v>38975</v>
      </c>
      <c r="P780" s="66">
        <v>153608</v>
      </c>
      <c r="Q780" s="67">
        <v>0.4</v>
      </c>
      <c r="R780" s="66">
        <v>61443</v>
      </c>
      <c r="S780" s="66">
        <v>215052</v>
      </c>
      <c r="T780" s="106">
        <f>IF(A780="Upgrade",IF(OR(H780=4,H780=5),_xlfn.XLOOKUP(I780,'Renewal Rates'!$A$22:$A$27,'Renewal Rates'!$B$22:$B$27,'Renewal Rates'!$B$27,0),'Renewal Rates'!$F$7),IF(A780="Renewal",100%,0%))</f>
        <v>2.6599999999999999E-2</v>
      </c>
      <c r="U780" s="68">
        <f t="shared" si="12"/>
        <v>5720.3831999999993</v>
      </c>
    </row>
    <row r="781" spans="1:21" s="41" customFormat="1" ht="13.8" x14ac:dyDescent="0.3">
      <c r="A781" s="115" t="s">
        <v>21</v>
      </c>
      <c r="B781" s="116">
        <v>2000187282</v>
      </c>
      <c r="C781" s="116">
        <v>3.0470000000000002</v>
      </c>
      <c r="D781" s="117">
        <v>13.7</v>
      </c>
      <c r="E781" s="117"/>
      <c r="F781" s="117">
        <v>225</v>
      </c>
      <c r="G781" s="117">
        <v>525</v>
      </c>
      <c r="H781" s="123"/>
      <c r="I781" s="117" t="s">
        <v>122</v>
      </c>
      <c r="J781" s="115">
        <v>387</v>
      </c>
      <c r="K781" s="115" t="s">
        <v>23</v>
      </c>
      <c r="L781" s="117" t="s">
        <v>24</v>
      </c>
      <c r="M781" s="66">
        <v>58942</v>
      </c>
      <c r="N781" s="66">
        <v>4303</v>
      </c>
      <c r="O781" s="66">
        <v>20040</v>
      </c>
      <c r="P781" s="66">
        <v>78983</v>
      </c>
      <c r="Q781" s="67">
        <v>0.4</v>
      </c>
      <c r="R781" s="66">
        <v>31593</v>
      </c>
      <c r="S781" s="66">
        <v>110576</v>
      </c>
      <c r="T781" s="106">
        <f>IF(A781="Upgrade",IF(OR(H781=4,H781=5),_xlfn.XLOOKUP(I781,'Renewal Rates'!$A$22:$A$27,'Renewal Rates'!$B$22:$B$27,'Renewal Rates'!$B$27,0),'Renewal Rates'!$F$7),IF(A781="Renewal",100%,0%))</f>
        <v>2.6599999999999999E-2</v>
      </c>
      <c r="U781" s="68">
        <f t="shared" si="12"/>
        <v>2941.3215999999998</v>
      </c>
    </row>
    <row r="782" spans="1:21" s="41" customFormat="1" ht="13.8" x14ac:dyDescent="0.3">
      <c r="A782" s="115" t="s">
        <v>21</v>
      </c>
      <c r="B782" s="116">
        <v>2000505381</v>
      </c>
      <c r="C782" s="116">
        <v>3.0470000000000002</v>
      </c>
      <c r="D782" s="117">
        <v>3.5</v>
      </c>
      <c r="E782" s="117"/>
      <c r="F782" s="117">
        <v>225</v>
      </c>
      <c r="G782" s="117">
        <v>525</v>
      </c>
      <c r="H782" s="123"/>
      <c r="I782" s="117" t="s">
        <v>122</v>
      </c>
      <c r="J782" s="115">
        <v>387</v>
      </c>
      <c r="K782" s="115" t="s">
        <v>23</v>
      </c>
      <c r="L782" s="117" t="s">
        <v>24</v>
      </c>
      <c r="M782" s="66">
        <v>47020</v>
      </c>
      <c r="N782" s="66">
        <v>13265</v>
      </c>
      <c r="O782" s="66">
        <v>15987</v>
      </c>
      <c r="P782" s="66">
        <v>63007</v>
      </c>
      <c r="Q782" s="67">
        <v>0.4</v>
      </c>
      <c r="R782" s="66">
        <v>25203</v>
      </c>
      <c r="S782" s="66">
        <v>88210</v>
      </c>
      <c r="T782" s="106">
        <f>IF(A782="Upgrade",IF(OR(H782=4,H782=5),_xlfn.XLOOKUP(I782,'Renewal Rates'!$A$22:$A$27,'Renewal Rates'!$B$22:$B$27,'Renewal Rates'!$B$27,0),'Renewal Rates'!$F$7),IF(A782="Renewal",100%,0%))</f>
        <v>2.6599999999999999E-2</v>
      </c>
      <c r="U782" s="68">
        <f t="shared" si="12"/>
        <v>2346.386</v>
      </c>
    </row>
    <row r="783" spans="1:21" s="41" customFormat="1" ht="13.8" x14ac:dyDescent="0.3">
      <c r="A783" s="115" t="s">
        <v>21</v>
      </c>
      <c r="B783" s="116">
        <v>2000643540</v>
      </c>
      <c r="C783" s="116">
        <v>3.0619999999999998</v>
      </c>
      <c r="D783" s="117">
        <v>14.5</v>
      </c>
      <c r="E783" s="117"/>
      <c r="F783" s="117">
        <v>450</v>
      </c>
      <c r="G783" s="117">
        <v>1350</v>
      </c>
      <c r="H783" s="123"/>
      <c r="I783" s="117" t="s">
        <v>122</v>
      </c>
      <c r="J783" s="115">
        <v>387</v>
      </c>
      <c r="K783" s="115" t="s">
        <v>23</v>
      </c>
      <c r="L783" s="117" t="s">
        <v>24</v>
      </c>
      <c r="M783" s="66">
        <v>110155</v>
      </c>
      <c r="N783" s="66">
        <v>7609</v>
      </c>
      <c r="O783" s="66">
        <v>37453</v>
      </c>
      <c r="P783" s="66">
        <v>147608</v>
      </c>
      <c r="Q783" s="67">
        <v>0.4</v>
      </c>
      <c r="R783" s="66">
        <v>59043</v>
      </c>
      <c r="S783" s="66">
        <v>206651</v>
      </c>
      <c r="T783" s="106">
        <f>IF(A783="Upgrade",IF(OR(H783=4,H783=5),_xlfn.XLOOKUP(I783,'Renewal Rates'!$A$22:$A$27,'Renewal Rates'!$B$22:$B$27,'Renewal Rates'!$B$27,0),'Renewal Rates'!$F$7),IF(A783="Renewal",100%,0%))</f>
        <v>2.6599999999999999E-2</v>
      </c>
      <c r="U783" s="68">
        <f t="shared" si="12"/>
        <v>5496.9165999999996</v>
      </c>
    </row>
    <row r="784" spans="1:21" s="41" customFormat="1" ht="13.8" x14ac:dyDescent="0.3">
      <c r="A784" s="115" t="s">
        <v>21</v>
      </c>
      <c r="B784" s="116">
        <v>2000018644</v>
      </c>
      <c r="C784" s="116">
        <v>3.0390000000000001</v>
      </c>
      <c r="D784" s="117">
        <v>71.099999999999994</v>
      </c>
      <c r="E784" s="117"/>
      <c r="F784" s="117">
        <v>225</v>
      </c>
      <c r="G784" s="117">
        <v>1125</v>
      </c>
      <c r="H784" s="123"/>
      <c r="I784" s="117" t="s">
        <v>122</v>
      </c>
      <c r="J784" s="115">
        <v>386</v>
      </c>
      <c r="K784" s="115" t="s">
        <v>23</v>
      </c>
      <c r="L784" s="117" t="s">
        <v>24</v>
      </c>
      <c r="M784" s="66">
        <v>509074</v>
      </c>
      <c r="N784" s="66">
        <v>7164</v>
      </c>
      <c r="O784" s="66">
        <v>173085</v>
      </c>
      <c r="P784" s="66">
        <v>682159</v>
      </c>
      <c r="Q784" s="67">
        <v>0.4</v>
      </c>
      <c r="R784" s="66">
        <v>272864</v>
      </c>
      <c r="S784" s="66">
        <v>955023</v>
      </c>
      <c r="T784" s="106">
        <f>IF(A784="Upgrade",IF(OR(H784=4,H784=5),_xlfn.XLOOKUP(I784,'Renewal Rates'!$A$22:$A$27,'Renewal Rates'!$B$22:$B$27,'Renewal Rates'!$B$27,0),'Renewal Rates'!$F$7),IF(A784="Renewal",100%,0%))</f>
        <v>2.6599999999999999E-2</v>
      </c>
      <c r="U784" s="68">
        <f t="shared" si="12"/>
        <v>25403.611799999999</v>
      </c>
    </row>
    <row r="785" spans="1:21" s="41" customFormat="1" ht="13.8" x14ac:dyDescent="0.3">
      <c r="A785" s="115" t="s">
        <v>21</v>
      </c>
      <c r="B785" s="116">
        <v>2000132465</v>
      </c>
      <c r="C785" s="116">
        <v>3.0390000000000001</v>
      </c>
      <c r="D785" s="117">
        <v>69.900000000000006</v>
      </c>
      <c r="E785" s="117"/>
      <c r="F785" s="117">
        <v>225</v>
      </c>
      <c r="G785" s="117">
        <v>1125</v>
      </c>
      <c r="H785" s="123"/>
      <c r="I785" s="117" t="s">
        <v>122</v>
      </c>
      <c r="J785" s="115">
        <v>386</v>
      </c>
      <c r="K785" s="115" t="s">
        <v>23</v>
      </c>
      <c r="L785" s="117" t="s">
        <v>24</v>
      </c>
      <c r="M785" s="66">
        <v>506475</v>
      </c>
      <c r="N785" s="66">
        <v>7248</v>
      </c>
      <c r="O785" s="66">
        <v>172202</v>
      </c>
      <c r="P785" s="66">
        <v>678677</v>
      </c>
      <c r="Q785" s="67">
        <v>0.4</v>
      </c>
      <c r="R785" s="66">
        <v>271471</v>
      </c>
      <c r="S785" s="66">
        <v>950148</v>
      </c>
      <c r="T785" s="106">
        <f>IF(A785="Upgrade",IF(OR(H785=4,H785=5),_xlfn.XLOOKUP(I785,'Renewal Rates'!$A$22:$A$27,'Renewal Rates'!$B$22:$B$27,'Renewal Rates'!$B$27,0),'Renewal Rates'!$F$7),IF(A785="Renewal",100%,0%))</f>
        <v>2.6599999999999999E-2</v>
      </c>
      <c r="U785" s="68">
        <f t="shared" si="12"/>
        <v>25273.936799999999</v>
      </c>
    </row>
    <row r="786" spans="1:21" s="41" customFormat="1" ht="13.8" x14ac:dyDescent="0.3">
      <c r="A786" s="115" t="s">
        <v>21</v>
      </c>
      <c r="B786" s="116">
        <v>2000042002</v>
      </c>
      <c r="C786" s="116">
        <v>3.0510000000000002</v>
      </c>
      <c r="D786" s="117">
        <v>54.7</v>
      </c>
      <c r="E786" s="117"/>
      <c r="F786" s="117">
        <v>225</v>
      </c>
      <c r="G786" s="117">
        <v>450</v>
      </c>
      <c r="H786" s="123"/>
      <c r="I786" s="117" t="s">
        <v>122</v>
      </c>
      <c r="J786" s="115">
        <v>386</v>
      </c>
      <c r="K786" s="115" t="s">
        <v>23</v>
      </c>
      <c r="L786" s="117" t="s">
        <v>24</v>
      </c>
      <c r="M786" s="66">
        <v>161057</v>
      </c>
      <c r="N786" s="66">
        <v>2942</v>
      </c>
      <c r="O786" s="66">
        <v>54759</v>
      </c>
      <c r="P786" s="66">
        <v>215816</v>
      </c>
      <c r="Q786" s="67">
        <v>0.4</v>
      </c>
      <c r="R786" s="66">
        <v>86327</v>
      </c>
      <c r="S786" s="66">
        <v>302143</v>
      </c>
      <c r="T786" s="106">
        <f>IF(A786="Upgrade",IF(OR(H786=4,H786=5),_xlfn.XLOOKUP(I786,'Renewal Rates'!$A$22:$A$27,'Renewal Rates'!$B$22:$B$27,'Renewal Rates'!$B$27,0),'Renewal Rates'!$F$7),IF(A786="Renewal",100%,0%))</f>
        <v>2.6599999999999999E-2</v>
      </c>
      <c r="U786" s="68">
        <f t="shared" si="12"/>
        <v>8037.0037999999995</v>
      </c>
    </row>
    <row r="787" spans="1:21" s="41" customFormat="1" ht="13.8" x14ac:dyDescent="0.3">
      <c r="A787" s="115" t="s">
        <v>21</v>
      </c>
      <c r="B787" s="116">
        <v>2000090091</v>
      </c>
      <c r="C787" s="116">
        <v>3.0640000000000001</v>
      </c>
      <c r="D787" s="117">
        <v>49.8</v>
      </c>
      <c r="E787" s="117"/>
      <c r="F787" s="117">
        <v>300</v>
      </c>
      <c r="G787" s="117">
        <v>1050</v>
      </c>
      <c r="H787" s="123"/>
      <c r="I787" s="117" t="s">
        <v>122</v>
      </c>
      <c r="J787" s="115">
        <v>386</v>
      </c>
      <c r="K787" s="115" t="s">
        <v>23</v>
      </c>
      <c r="L787" s="117" t="s">
        <v>24</v>
      </c>
      <c r="M787" s="66">
        <v>326067</v>
      </c>
      <c r="N787" s="66">
        <v>6548</v>
      </c>
      <c r="O787" s="66">
        <v>110863</v>
      </c>
      <c r="P787" s="66">
        <v>436929</v>
      </c>
      <c r="Q787" s="67">
        <v>0.4</v>
      </c>
      <c r="R787" s="66">
        <v>174772</v>
      </c>
      <c r="S787" s="66">
        <v>611701</v>
      </c>
      <c r="T787" s="106">
        <f>IF(A787="Upgrade",IF(OR(H787=4,H787=5),_xlfn.XLOOKUP(I787,'Renewal Rates'!$A$22:$A$27,'Renewal Rates'!$B$22:$B$27,'Renewal Rates'!$B$27,0),'Renewal Rates'!$F$7),IF(A787="Renewal",100%,0%))</f>
        <v>2.6599999999999999E-2</v>
      </c>
      <c r="U787" s="68">
        <f t="shared" si="12"/>
        <v>16271.246599999999</v>
      </c>
    </row>
    <row r="788" spans="1:21" s="41" customFormat="1" ht="13.8" x14ac:dyDescent="0.3">
      <c r="A788" s="115" t="s">
        <v>21</v>
      </c>
      <c r="B788" s="116">
        <v>2000646839</v>
      </c>
      <c r="C788" s="116">
        <v>3.0640000000000001</v>
      </c>
      <c r="D788" s="117">
        <v>42.7</v>
      </c>
      <c r="E788" s="117"/>
      <c r="F788" s="117">
        <v>225</v>
      </c>
      <c r="G788" s="117">
        <v>1050</v>
      </c>
      <c r="H788" s="123"/>
      <c r="I788" s="117" t="s">
        <v>122</v>
      </c>
      <c r="J788" s="115">
        <v>386</v>
      </c>
      <c r="K788" s="115" t="s">
        <v>23</v>
      </c>
      <c r="L788" s="117" t="s">
        <v>24</v>
      </c>
      <c r="M788" s="66">
        <v>289043</v>
      </c>
      <c r="N788" s="66">
        <v>6767</v>
      </c>
      <c r="O788" s="66">
        <v>98275</v>
      </c>
      <c r="P788" s="66">
        <v>387317</v>
      </c>
      <c r="Q788" s="67">
        <v>0.4</v>
      </c>
      <c r="R788" s="66">
        <v>154927</v>
      </c>
      <c r="S788" s="66">
        <v>542244</v>
      </c>
      <c r="T788" s="106">
        <f>IF(A788="Upgrade",IF(OR(H788=4,H788=5),_xlfn.XLOOKUP(I788,'Renewal Rates'!$A$22:$A$27,'Renewal Rates'!$B$22:$B$27,'Renewal Rates'!$B$27,0),'Renewal Rates'!$F$7),IF(A788="Renewal",100%,0%))</f>
        <v>2.6599999999999999E-2</v>
      </c>
      <c r="U788" s="68">
        <f t="shared" si="12"/>
        <v>14423.690399999999</v>
      </c>
    </row>
    <row r="789" spans="1:21" s="41" customFormat="1" ht="13.8" x14ac:dyDescent="0.3">
      <c r="A789" s="115" t="s">
        <v>21</v>
      </c>
      <c r="B789" s="116">
        <v>2000474891</v>
      </c>
      <c r="C789" s="116">
        <v>3.04</v>
      </c>
      <c r="D789" s="117">
        <v>83.7</v>
      </c>
      <c r="E789" s="117"/>
      <c r="F789" s="117">
        <v>375</v>
      </c>
      <c r="G789" s="117">
        <v>825</v>
      </c>
      <c r="H789" s="123">
        <v>4</v>
      </c>
      <c r="I789" s="117">
        <v>3</v>
      </c>
      <c r="J789" s="115">
        <v>386</v>
      </c>
      <c r="K789" s="115" t="s">
        <v>23</v>
      </c>
      <c r="L789" s="117" t="s">
        <v>24</v>
      </c>
      <c r="M789" s="66">
        <v>375560</v>
      </c>
      <c r="N789" s="66">
        <v>4488</v>
      </c>
      <c r="O789" s="66">
        <v>127690</v>
      </c>
      <c r="P789" s="66">
        <v>503251</v>
      </c>
      <c r="Q789" s="67">
        <v>0.4</v>
      </c>
      <c r="R789" s="66">
        <v>201300</v>
      </c>
      <c r="S789" s="66">
        <v>704551</v>
      </c>
      <c r="T789" s="106">
        <f>IF(A789="Upgrade",IF(OR(H789=4,H789=5),_xlfn.XLOOKUP(I789,'Renewal Rates'!$A$22:$A$27,'Renewal Rates'!$B$22:$B$27,'Renewal Rates'!$B$27,0),'Renewal Rates'!$F$7),IF(A789="Renewal",100%,0%))</f>
        <v>0.21</v>
      </c>
      <c r="U789" s="68">
        <f t="shared" si="12"/>
        <v>147955.71</v>
      </c>
    </row>
    <row r="790" spans="1:21" s="41" customFormat="1" ht="13.8" x14ac:dyDescent="0.3">
      <c r="A790" s="115" t="s">
        <v>21</v>
      </c>
      <c r="B790" s="116">
        <v>2000822011</v>
      </c>
      <c r="C790" s="116">
        <v>3.0529999999999999</v>
      </c>
      <c r="D790" s="117">
        <v>81.099999999999994</v>
      </c>
      <c r="E790" s="117"/>
      <c r="F790" s="117">
        <v>375</v>
      </c>
      <c r="G790" s="117">
        <v>750</v>
      </c>
      <c r="H790" s="123">
        <v>4</v>
      </c>
      <c r="I790" s="117"/>
      <c r="J790" s="115">
        <v>386</v>
      </c>
      <c r="K790" s="115" t="s">
        <v>23</v>
      </c>
      <c r="L790" s="117" t="s">
        <v>24</v>
      </c>
      <c r="M790" s="66">
        <v>339808</v>
      </c>
      <c r="N790" s="66">
        <v>4190</v>
      </c>
      <c r="O790" s="66">
        <v>115535</v>
      </c>
      <c r="P790" s="66">
        <v>455343</v>
      </c>
      <c r="Q790" s="67">
        <v>0.4</v>
      </c>
      <c r="R790" s="66">
        <v>182137</v>
      </c>
      <c r="S790" s="66">
        <v>637480</v>
      </c>
      <c r="T790" s="106">
        <f>IF(A790="Upgrade",IF(OR(H790=4,H790=5),_xlfn.XLOOKUP(I790,'Renewal Rates'!$A$22:$A$27,'Renewal Rates'!$B$22:$B$27,'Renewal Rates'!$B$27,0),'Renewal Rates'!$F$7),IF(A790="Renewal",100%,0%))</f>
        <v>0.116578</v>
      </c>
      <c r="U790" s="68">
        <f t="shared" si="12"/>
        <v>74316.14344</v>
      </c>
    </row>
    <row r="791" spans="1:21" s="41" customFormat="1" ht="13.8" x14ac:dyDescent="0.3">
      <c r="A791" s="115" t="s">
        <v>21</v>
      </c>
      <c r="B791" s="116">
        <v>2000075025</v>
      </c>
      <c r="C791" s="116">
        <v>3.0529999999999999</v>
      </c>
      <c r="D791" s="117">
        <v>2.8</v>
      </c>
      <c r="E791" s="117"/>
      <c r="F791" s="117">
        <v>225</v>
      </c>
      <c r="G791" s="117">
        <v>750</v>
      </c>
      <c r="H791" s="123"/>
      <c r="I791" s="117" t="s">
        <v>122</v>
      </c>
      <c r="J791" s="115">
        <v>386</v>
      </c>
      <c r="K791" s="115" t="s">
        <v>23</v>
      </c>
      <c r="L791" s="117" t="s">
        <v>24</v>
      </c>
      <c r="M791" s="66">
        <v>29960</v>
      </c>
      <c r="N791" s="66">
        <v>10682</v>
      </c>
      <c r="O791" s="66">
        <v>10187</v>
      </c>
      <c r="P791" s="66">
        <v>40147</v>
      </c>
      <c r="Q791" s="67">
        <v>0.4</v>
      </c>
      <c r="R791" s="66">
        <v>16059</v>
      </c>
      <c r="S791" s="66">
        <v>56206</v>
      </c>
      <c r="T791" s="106">
        <f>IF(A791="Upgrade",IF(OR(H791=4,H791=5),_xlfn.XLOOKUP(I791,'Renewal Rates'!$A$22:$A$27,'Renewal Rates'!$B$22:$B$27,'Renewal Rates'!$B$27,0),'Renewal Rates'!$F$7),IF(A791="Renewal",100%,0%))</f>
        <v>2.6599999999999999E-2</v>
      </c>
      <c r="U791" s="68">
        <f t="shared" si="12"/>
        <v>1495.0796</v>
      </c>
    </row>
    <row r="792" spans="1:21" s="41" customFormat="1" ht="13.8" x14ac:dyDescent="0.3">
      <c r="A792" s="115" t="s">
        <v>21</v>
      </c>
      <c r="B792" s="116">
        <v>2000301059</v>
      </c>
      <c r="C792" s="116">
        <v>3.0529999999999999</v>
      </c>
      <c r="D792" s="117">
        <v>5.8</v>
      </c>
      <c r="E792" s="117"/>
      <c r="F792" s="117">
        <v>225</v>
      </c>
      <c r="G792" s="117">
        <v>750</v>
      </c>
      <c r="H792" s="123"/>
      <c r="I792" s="117" t="s">
        <v>122</v>
      </c>
      <c r="J792" s="115">
        <v>386</v>
      </c>
      <c r="K792" s="115" t="s">
        <v>23</v>
      </c>
      <c r="L792" s="117" t="s">
        <v>24</v>
      </c>
      <c r="M792" s="66">
        <v>57413</v>
      </c>
      <c r="N792" s="66">
        <v>9924</v>
      </c>
      <c r="O792" s="66">
        <v>19520</v>
      </c>
      <c r="P792" s="66">
        <v>76933</v>
      </c>
      <c r="Q792" s="67">
        <v>0.4</v>
      </c>
      <c r="R792" s="66">
        <v>30773</v>
      </c>
      <c r="S792" s="66">
        <v>107707</v>
      </c>
      <c r="T792" s="106">
        <f>IF(A792="Upgrade",IF(OR(H792=4,H792=5),_xlfn.XLOOKUP(I792,'Renewal Rates'!$A$22:$A$27,'Renewal Rates'!$B$22:$B$27,'Renewal Rates'!$B$27,0),'Renewal Rates'!$F$7),IF(A792="Renewal",100%,0%))</f>
        <v>2.6599999999999999E-2</v>
      </c>
      <c r="U792" s="68">
        <f t="shared" si="12"/>
        <v>2865.0061999999998</v>
      </c>
    </row>
    <row r="793" spans="1:21" s="41" customFormat="1" ht="13.8" x14ac:dyDescent="0.3">
      <c r="A793" s="115" t="s">
        <v>21</v>
      </c>
      <c r="B793" s="116">
        <v>2000742615</v>
      </c>
      <c r="C793" s="116">
        <v>3.0529999999999999</v>
      </c>
      <c r="D793" s="117">
        <v>39.5</v>
      </c>
      <c r="E793" s="117"/>
      <c r="F793" s="117">
        <v>225</v>
      </c>
      <c r="G793" s="117">
        <v>750</v>
      </c>
      <c r="H793" s="123"/>
      <c r="I793" s="117" t="s">
        <v>122</v>
      </c>
      <c r="J793" s="115">
        <v>386</v>
      </c>
      <c r="K793" s="115" t="s">
        <v>23</v>
      </c>
      <c r="L793" s="117" t="s">
        <v>24</v>
      </c>
      <c r="M793" s="66">
        <v>181013</v>
      </c>
      <c r="N793" s="66">
        <v>4582</v>
      </c>
      <c r="O793" s="66">
        <v>61544</v>
      </c>
      <c r="P793" s="66">
        <v>242558</v>
      </c>
      <c r="Q793" s="67">
        <v>0.4</v>
      </c>
      <c r="R793" s="66">
        <v>97023</v>
      </c>
      <c r="S793" s="66">
        <v>339581</v>
      </c>
      <c r="T793" s="106">
        <f>IF(A793="Upgrade",IF(OR(H793=4,H793=5),_xlfn.XLOOKUP(I793,'Renewal Rates'!$A$22:$A$27,'Renewal Rates'!$B$22:$B$27,'Renewal Rates'!$B$27,0),'Renewal Rates'!$F$7),IF(A793="Renewal",100%,0%))</f>
        <v>2.6599999999999999E-2</v>
      </c>
      <c r="U793" s="68">
        <f t="shared" si="12"/>
        <v>9032.8545999999988</v>
      </c>
    </row>
    <row r="794" spans="1:21" s="41" customFormat="1" ht="13.8" x14ac:dyDescent="0.3">
      <c r="A794" s="115" t="s">
        <v>21</v>
      </c>
      <c r="B794" s="116">
        <v>3000191950</v>
      </c>
      <c r="C794" s="116">
        <v>3.0529999999999999</v>
      </c>
      <c r="D794" s="117">
        <v>10.9</v>
      </c>
      <c r="E794" s="117"/>
      <c r="F794" s="117">
        <v>225</v>
      </c>
      <c r="G794" s="117">
        <v>750</v>
      </c>
      <c r="H794" s="123"/>
      <c r="I794" s="117" t="s">
        <v>122</v>
      </c>
      <c r="J794" s="115">
        <v>386</v>
      </c>
      <c r="K794" s="115" t="s">
        <v>23</v>
      </c>
      <c r="L794" s="117" t="s">
        <v>24</v>
      </c>
      <c r="M794" s="66">
        <v>83828</v>
      </c>
      <c r="N794" s="66">
        <v>7679</v>
      </c>
      <c r="O794" s="66">
        <v>28502</v>
      </c>
      <c r="P794" s="66">
        <v>112330</v>
      </c>
      <c r="Q794" s="67">
        <v>0.4</v>
      </c>
      <c r="R794" s="66">
        <v>44932</v>
      </c>
      <c r="S794" s="66">
        <v>157262</v>
      </c>
      <c r="T794" s="106">
        <f>IF(A794="Upgrade",IF(OR(H794=4,H794=5),_xlfn.XLOOKUP(I794,'Renewal Rates'!$A$22:$A$27,'Renewal Rates'!$B$22:$B$27,'Renewal Rates'!$B$27,0),'Renewal Rates'!$F$7),IF(A794="Renewal",100%,0%))</f>
        <v>2.6599999999999999E-2</v>
      </c>
      <c r="U794" s="68">
        <f t="shared" si="12"/>
        <v>4183.1691999999994</v>
      </c>
    </row>
    <row r="795" spans="1:21" s="41" customFormat="1" ht="13.8" x14ac:dyDescent="0.3">
      <c r="A795" s="115" t="s">
        <v>21</v>
      </c>
      <c r="B795" s="116">
        <v>2000070060</v>
      </c>
      <c r="C795" s="116">
        <v>3.0529999999999999</v>
      </c>
      <c r="D795" s="117">
        <v>47.9</v>
      </c>
      <c r="E795" s="117"/>
      <c r="F795" s="117">
        <v>300</v>
      </c>
      <c r="G795" s="117">
        <v>750</v>
      </c>
      <c r="H795" s="123"/>
      <c r="I795" s="117" t="s">
        <v>122</v>
      </c>
      <c r="J795" s="115">
        <v>386</v>
      </c>
      <c r="K795" s="115" t="s">
        <v>23</v>
      </c>
      <c r="L795" s="117" t="s">
        <v>24</v>
      </c>
      <c r="M795" s="66">
        <v>211798</v>
      </c>
      <c r="N795" s="66">
        <v>4426</v>
      </c>
      <c r="O795" s="66">
        <v>72011</v>
      </c>
      <c r="P795" s="66">
        <v>283810</v>
      </c>
      <c r="Q795" s="67">
        <v>0.4</v>
      </c>
      <c r="R795" s="66">
        <v>113524</v>
      </c>
      <c r="S795" s="66">
        <v>397334</v>
      </c>
      <c r="T795" s="106">
        <f>IF(A795="Upgrade",IF(OR(H795=4,H795=5),_xlfn.XLOOKUP(I795,'Renewal Rates'!$A$22:$A$27,'Renewal Rates'!$B$22:$B$27,'Renewal Rates'!$B$27,0),'Renewal Rates'!$F$7),IF(A795="Renewal",100%,0%))</f>
        <v>2.6599999999999999E-2</v>
      </c>
      <c r="U795" s="68">
        <f t="shared" si="12"/>
        <v>10569.0844</v>
      </c>
    </row>
    <row r="796" spans="1:21" s="41" customFormat="1" ht="13.8" x14ac:dyDescent="0.3">
      <c r="A796" s="115" t="s">
        <v>21</v>
      </c>
      <c r="B796" s="116">
        <v>2000303687</v>
      </c>
      <c r="C796" s="116">
        <v>3.0529999999999999</v>
      </c>
      <c r="D796" s="117">
        <v>23.5</v>
      </c>
      <c r="E796" s="117"/>
      <c r="F796" s="117">
        <v>300</v>
      </c>
      <c r="G796" s="117">
        <v>750</v>
      </c>
      <c r="H796" s="123"/>
      <c r="I796" s="117" t="s">
        <v>122</v>
      </c>
      <c r="J796" s="115">
        <v>386</v>
      </c>
      <c r="K796" s="115" t="s">
        <v>23</v>
      </c>
      <c r="L796" s="117" t="s">
        <v>24</v>
      </c>
      <c r="M796" s="66">
        <v>120331</v>
      </c>
      <c r="N796" s="66">
        <v>5128</v>
      </c>
      <c r="O796" s="66">
        <v>40912</v>
      </c>
      <c r="P796" s="66">
        <v>161243</v>
      </c>
      <c r="Q796" s="67">
        <v>0.4</v>
      </c>
      <c r="R796" s="66">
        <v>64497</v>
      </c>
      <c r="S796" s="66">
        <v>225740</v>
      </c>
      <c r="T796" s="106">
        <f>IF(A796="Upgrade",IF(OR(H796=4,H796=5),_xlfn.XLOOKUP(I796,'Renewal Rates'!$A$22:$A$27,'Renewal Rates'!$B$22:$B$27,'Renewal Rates'!$B$27,0),'Renewal Rates'!$F$7),IF(A796="Renewal",100%,0%))</f>
        <v>2.6599999999999999E-2</v>
      </c>
      <c r="U796" s="68">
        <f t="shared" si="12"/>
        <v>6004.6839999999993</v>
      </c>
    </row>
    <row r="797" spans="1:21" s="41" customFormat="1" ht="13.8" x14ac:dyDescent="0.3">
      <c r="A797" s="115" t="s">
        <v>21</v>
      </c>
      <c r="B797" s="116">
        <v>2000601981</v>
      </c>
      <c r="C797" s="116">
        <v>3.0630000000000002</v>
      </c>
      <c r="D797" s="117">
        <v>46.9</v>
      </c>
      <c r="E797" s="117"/>
      <c r="F797" s="117">
        <v>375</v>
      </c>
      <c r="G797" s="117">
        <v>750</v>
      </c>
      <c r="H797" s="123">
        <v>4</v>
      </c>
      <c r="I797" s="117">
        <v>4</v>
      </c>
      <c r="J797" s="115">
        <v>386</v>
      </c>
      <c r="K797" s="115" t="s">
        <v>23</v>
      </c>
      <c r="L797" s="117" t="s">
        <v>24</v>
      </c>
      <c r="M797" s="66">
        <v>191054</v>
      </c>
      <c r="N797" s="66">
        <v>4075</v>
      </c>
      <c r="O797" s="66">
        <v>64958</v>
      </c>
      <c r="P797" s="66">
        <v>256012</v>
      </c>
      <c r="Q797" s="67">
        <v>0.4</v>
      </c>
      <c r="R797" s="66">
        <v>102405</v>
      </c>
      <c r="S797" s="66">
        <v>358417</v>
      </c>
      <c r="T797" s="106">
        <f>IF(A797="Upgrade",IF(OR(H797=4,H797=5),_xlfn.XLOOKUP(I797,'Renewal Rates'!$A$22:$A$27,'Renewal Rates'!$B$22:$B$27,'Renewal Rates'!$B$27,0),'Renewal Rates'!$F$7),IF(A797="Renewal",100%,0%))</f>
        <v>0.7</v>
      </c>
      <c r="U797" s="68">
        <f t="shared" si="12"/>
        <v>250891.9</v>
      </c>
    </row>
    <row r="798" spans="1:21" s="41" customFormat="1" ht="13.8" x14ac:dyDescent="0.3">
      <c r="A798" s="115" t="s">
        <v>21</v>
      </c>
      <c r="B798" s="116">
        <v>2000548131</v>
      </c>
      <c r="C798" s="116">
        <v>3.0630000000000002</v>
      </c>
      <c r="D798" s="117">
        <v>91.4</v>
      </c>
      <c r="E798" s="117"/>
      <c r="F798" s="117">
        <v>300</v>
      </c>
      <c r="G798" s="117">
        <v>750</v>
      </c>
      <c r="H798" s="123"/>
      <c r="I798" s="117" t="s">
        <v>122</v>
      </c>
      <c r="J798" s="115">
        <v>386</v>
      </c>
      <c r="K798" s="115" t="s">
        <v>23</v>
      </c>
      <c r="L798" s="117" t="s">
        <v>24</v>
      </c>
      <c r="M798" s="66">
        <v>373307</v>
      </c>
      <c r="N798" s="66">
        <v>4083</v>
      </c>
      <c r="O798" s="66">
        <v>126924</v>
      </c>
      <c r="P798" s="66">
        <v>500231</v>
      </c>
      <c r="Q798" s="67">
        <v>0.4</v>
      </c>
      <c r="R798" s="66">
        <v>200093</v>
      </c>
      <c r="S798" s="66">
        <v>700324</v>
      </c>
      <c r="T798" s="106">
        <f>IF(A798="Upgrade",IF(OR(H798=4,H798=5),_xlfn.XLOOKUP(I798,'Renewal Rates'!$A$22:$A$27,'Renewal Rates'!$B$22:$B$27,'Renewal Rates'!$B$27,0),'Renewal Rates'!$F$7),IF(A798="Renewal",100%,0%))</f>
        <v>2.6599999999999999E-2</v>
      </c>
      <c r="U798" s="68">
        <f t="shared" si="12"/>
        <v>18628.618399999999</v>
      </c>
    </row>
    <row r="799" spans="1:21" s="41" customFormat="1" ht="13.8" x14ac:dyDescent="0.3">
      <c r="A799" s="115" t="s">
        <v>21</v>
      </c>
      <c r="B799" s="116">
        <v>2000337821</v>
      </c>
      <c r="C799" s="116">
        <v>3.0630000000000002</v>
      </c>
      <c r="D799" s="117">
        <v>95.5</v>
      </c>
      <c r="E799" s="117"/>
      <c r="F799" s="117">
        <v>225</v>
      </c>
      <c r="G799" s="117">
        <v>750</v>
      </c>
      <c r="H799" s="123"/>
      <c r="I799" s="117" t="s">
        <v>122</v>
      </c>
      <c r="J799" s="115">
        <v>386</v>
      </c>
      <c r="K799" s="115" t="s">
        <v>23</v>
      </c>
      <c r="L799" s="117" t="s">
        <v>24</v>
      </c>
      <c r="M799" s="66">
        <v>398242</v>
      </c>
      <c r="N799" s="66">
        <v>4171</v>
      </c>
      <c r="O799" s="66">
        <v>135402</v>
      </c>
      <c r="P799" s="66">
        <v>533645</v>
      </c>
      <c r="Q799" s="67">
        <v>0.4</v>
      </c>
      <c r="R799" s="66">
        <v>213458</v>
      </c>
      <c r="S799" s="66">
        <v>747103</v>
      </c>
      <c r="T799" s="106">
        <f>IF(A799="Upgrade",IF(OR(H799=4,H799=5),_xlfn.XLOOKUP(I799,'Renewal Rates'!$A$22:$A$27,'Renewal Rates'!$B$22:$B$27,'Renewal Rates'!$B$27,0),'Renewal Rates'!$F$7),IF(A799="Renewal",100%,0%))</f>
        <v>2.6599999999999999E-2</v>
      </c>
      <c r="U799" s="68">
        <f t="shared" si="12"/>
        <v>19872.9398</v>
      </c>
    </row>
    <row r="800" spans="1:21" s="41" customFormat="1" ht="13.8" x14ac:dyDescent="0.3">
      <c r="A800" s="115" t="s">
        <v>21</v>
      </c>
      <c r="B800" s="116">
        <v>2000736178</v>
      </c>
      <c r="C800" s="116">
        <v>3.0630000000000002</v>
      </c>
      <c r="D800" s="117">
        <v>14.1</v>
      </c>
      <c r="E800" s="117"/>
      <c r="F800" s="117">
        <v>225</v>
      </c>
      <c r="G800" s="117">
        <v>750</v>
      </c>
      <c r="H800" s="123"/>
      <c r="I800" s="117" t="s">
        <v>122</v>
      </c>
      <c r="J800" s="115">
        <v>386</v>
      </c>
      <c r="K800" s="115" t="s">
        <v>23</v>
      </c>
      <c r="L800" s="117" t="s">
        <v>24</v>
      </c>
      <c r="M800" s="66">
        <v>88197</v>
      </c>
      <c r="N800" s="66">
        <v>6242</v>
      </c>
      <c r="O800" s="66">
        <v>29987</v>
      </c>
      <c r="P800" s="66">
        <v>118184</v>
      </c>
      <c r="Q800" s="67">
        <v>0.4</v>
      </c>
      <c r="R800" s="66">
        <v>47274</v>
      </c>
      <c r="S800" s="66">
        <v>165457</v>
      </c>
      <c r="T800" s="106">
        <f>IF(A800="Upgrade",IF(OR(H800=4,H800=5),_xlfn.XLOOKUP(I800,'Renewal Rates'!$A$22:$A$27,'Renewal Rates'!$B$22:$B$27,'Renewal Rates'!$B$27,0),'Renewal Rates'!$F$7),IF(A800="Renewal",100%,0%))</f>
        <v>2.6599999999999999E-2</v>
      </c>
      <c r="U800" s="68">
        <f t="shared" si="12"/>
        <v>4401.1561999999994</v>
      </c>
    </row>
    <row r="801" spans="1:21" s="41" customFormat="1" ht="13.8" x14ac:dyDescent="0.3">
      <c r="A801" s="115" t="s">
        <v>21</v>
      </c>
      <c r="B801" s="116">
        <v>2000689564</v>
      </c>
      <c r="C801" s="116">
        <v>3.0630000000000002</v>
      </c>
      <c r="D801" s="117">
        <v>27.5</v>
      </c>
      <c r="E801" s="117"/>
      <c r="F801" s="117">
        <v>225</v>
      </c>
      <c r="G801" s="117">
        <v>750</v>
      </c>
      <c r="H801" s="123"/>
      <c r="I801" s="117" t="s">
        <v>122</v>
      </c>
      <c r="J801" s="115">
        <v>386</v>
      </c>
      <c r="K801" s="115" t="s">
        <v>23</v>
      </c>
      <c r="L801" s="117" t="s">
        <v>24</v>
      </c>
      <c r="M801" s="66">
        <v>125829</v>
      </c>
      <c r="N801" s="66">
        <v>4574</v>
      </c>
      <c r="O801" s="66">
        <v>42782</v>
      </c>
      <c r="P801" s="66">
        <v>168610</v>
      </c>
      <c r="Q801" s="67">
        <v>0.4</v>
      </c>
      <c r="R801" s="66">
        <v>67444</v>
      </c>
      <c r="S801" s="66">
        <v>236055</v>
      </c>
      <c r="T801" s="106">
        <f>IF(A801="Upgrade",IF(OR(H801=4,H801=5),_xlfn.XLOOKUP(I801,'Renewal Rates'!$A$22:$A$27,'Renewal Rates'!$B$22:$B$27,'Renewal Rates'!$B$27,0),'Renewal Rates'!$F$7),IF(A801="Renewal",100%,0%))</f>
        <v>2.6599999999999999E-2</v>
      </c>
      <c r="U801" s="68">
        <f t="shared" si="12"/>
        <v>6279.0630000000001</v>
      </c>
    </row>
    <row r="802" spans="1:21" s="41" customFormat="1" ht="13.8" x14ac:dyDescent="0.3">
      <c r="A802" s="115" t="s">
        <v>21</v>
      </c>
      <c r="B802" s="116">
        <v>2000766808</v>
      </c>
      <c r="C802" s="116">
        <v>3.052</v>
      </c>
      <c r="D802" s="117">
        <v>3.5</v>
      </c>
      <c r="E802" s="117"/>
      <c r="F802" s="117">
        <v>225</v>
      </c>
      <c r="G802" s="117">
        <v>525</v>
      </c>
      <c r="H802" s="123"/>
      <c r="I802" s="117" t="s">
        <v>122</v>
      </c>
      <c r="J802" s="115">
        <v>386</v>
      </c>
      <c r="K802" s="115" t="s">
        <v>23</v>
      </c>
      <c r="L802" s="117" t="s">
        <v>24</v>
      </c>
      <c r="M802" s="66">
        <v>46984</v>
      </c>
      <c r="N802" s="66">
        <v>13409</v>
      </c>
      <c r="O802" s="66">
        <v>15975</v>
      </c>
      <c r="P802" s="66">
        <v>62959</v>
      </c>
      <c r="Q802" s="67">
        <v>0.4</v>
      </c>
      <c r="R802" s="66">
        <v>25184</v>
      </c>
      <c r="S802" s="66">
        <v>88143</v>
      </c>
      <c r="T802" s="106">
        <f>IF(A802="Upgrade",IF(OR(H802=4,H802=5),_xlfn.XLOOKUP(I802,'Renewal Rates'!$A$22:$A$27,'Renewal Rates'!$B$22:$B$27,'Renewal Rates'!$B$27,0),'Renewal Rates'!$F$7),IF(A802="Renewal",100%,0%))</f>
        <v>2.6599999999999999E-2</v>
      </c>
      <c r="U802" s="68">
        <f t="shared" si="12"/>
        <v>2344.6037999999999</v>
      </c>
    </row>
    <row r="803" spans="1:21" s="41" customFormat="1" ht="13.8" x14ac:dyDescent="0.3">
      <c r="A803" s="115" t="s">
        <v>21</v>
      </c>
      <c r="B803" s="116">
        <v>2000644465</v>
      </c>
      <c r="C803" s="116">
        <v>3.052</v>
      </c>
      <c r="D803" s="117">
        <v>9</v>
      </c>
      <c r="E803" s="117"/>
      <c r="F803" s="117">
        <v>225</v>
      </c>
      <c r="G803" s="117">
        <v>525</v>
      </c>
      <c r="H803" s="123"/>
      <c r="I803" s="117" t="s">
        <v>122</v>
      </c>
      <c r="J803" s="115">
        <v>386</v>
      </c>
      <c r="K803" s="115" t="s">
        <v>23</v>
      </c>
      <c r="L803" s="117" t="s">
        <v>24</v>
      </c>
      <c r="M803" s="66">
        <v>51817</v>
      </c>
      <c r="N803" s="66">
        <v>5732</v>
      </c>
      <c r="O803" s="66">
        <v>17618</v>
      </c>
      <c r="P803" s="66">
        <v>69434</v>
      </c>
      <c r="Q803" s="67">
        <v>0.4</v>
      </c>
      <c r="R803" s="66">
        <v>27774</v>
      </c>
      <c r="S803" s="66">
        <v>97208</v>
      </c>
      <c r="T803" s="106">
        <f>IF(A803="Upgrade",IF(OR(H803=4,H803=5),_xlfn.XLOOKUP(I803,'Renewal Rates'!$A$22:$A$27,'Renewal Rates'!$B$22:$B$27,'Renewal Rates'!$B$27,0),'Renewal Rates'!$F$7),IF(A803="Renewal",100%,0%))</f>
        <v>2.6599999999999999E-2</v>
      </c>
      <c r="U803" s="68">
        <f t="shared" si="12"/>
        <v>2585.7327999999998</v>
      </c>
    </row>
    <row r="804" spans="1:21" s="41" customFormat="1" ht="13.8" x14ac:dyDescent="0.3">
      <c r="A804" s="115" t="s">
        <v>21</v>
      </c>
      <c r="B804" s="116">
        <v>2000326967</v>
      </c>
      <c r="C804" s="116">
        <v>3.0489999999999999</v>
      </c>
      <c r="D804" s="117">
        <v>87.2</v>
      </c>
      <c r="E804" s="117"/>
      <c r="F804" s="117">
        <v>300</v>
      </c>
      <c r="G804" s="117">
        <v>1125</v>
      </c>
      <c r="H804" s="123">
        <v>4</v>
      </c>
      <c r="I804" s="117">
        <v>5</v>
      </c>
      <c r="J804" s="115">
        <v>386</v>
      </c>
      <c r="K804" s="115" t="s">
        <v>23</v>
      </c>
      <c r="L804" s="117" t="s">
        <v>24</v>
      </c>
      <c r="M804" s="66">
        <v>589897</v>
      </c>
      <c r="N804" s="66">
        <v>6762</v>
      </c>
      <c r="O804" s="66">
        <v>200565</v>
      </c>
      <c r="P804" s="66">
        <v>790462</v>
      </c>
      <c r="Q804" s="67">
        <v>0.4</v>
      </c>
      <c r="R804" s="66">
        <v>316185</v>
      </c>
      <c r="S804" s="66">
        <v>1106646</v>
      </c>
      <c r="T804" s="106">
        <f>IF(A804="Upgrade",IF(OR(H804=4,H804=5),_xlfn.XLOOKUP(I804,'Renewal Rates'!$A$22:$A$27,'Renewal Rates'!$B$22:$B$27,'Renewal Rates'!$B$27,0),'Renewal Rates'!$F$7),IF(A804="Renewal",100%,0%))</f>
        <v>0.7</v>
      </c>
      <c r="U804" s="68">
        <f t="shared" si="12"/>
        <v>774652.2</v>
      </c>
    </row>
    <row r="805" spans="1:21" s="41" customFormat="1" ht="13.8" x14ac:dyDescent="0.3">
      <c r="A805" s="115" t="s">
        <v>21</v>
      </c>
      <c r="B805" s="116">
        <v>2000087594</v>
      </c>
      <c r="C805" s="116">
        <v>3.0489999999999999</v>
      </c>
      <c r="D805" s="117">
        <v>22.5</v>
      </c>
      <c r="E805" s="117"/>
      <c r="F805" s="117">
        <v>225</v>
      </c>
      <c r="G805" s="117">
        <v>1125</v>
      </c>
      <c r="H805" s="123"/>
      <c r="I805" s="117" t="s">
        <v>122</v>
      </c>
      <c r="J805" s="115">
        <v>386</v>
      </c>
      <c r="K805" s="115" t="s">
        <v>23</v>
      </c>
      <c r="L805" s="117" t="s">
        <v>24</v>
      </c>
      <c r="M805" s="66">
        <v>183384</v>
      </c>
      <c r="N805" s="66">
        <v>8156</v>
      </c>
      <c r="O805" s="66">
        <v>62351</v>
      </c>
      <c r="P805" s="66">
        <v>245735</v>
      </c>
      <c r="Q805" s="67">
        <v>0.4</v>
      </c>
      <c r="R805" s="66">
        <v>98294</v>
      </c>
      <c r="S805" s="66">
        <v>344029</v>
      </c>
      <c r="T805" s="106">
        <f>IF(A805="Upgrade",IF(OR(H805=4,H805=5),_xlfn.XLOOKUP(I805,'Renewal Rates'!$A$22:$A$27,'Renewal Rates'!$B$22:$B$27,'Renewal Rates'!$B$27,0),'Renewal Rates'!$F$7),IF(A805="Renewal",100%,0%))</f>
        <v>2.6599999999999999E-2</v>
      </c>
      <c r="U805" s="68">
        <f t="shared" si="12"/>
        <v>9151.1713999999993</v>
      </c>
    </row>
    <row r="806" spans="1:21" s="41" customFormat="1" ht="13.8" x14ac:dyDescent="0.3">
      <c r="A806" s="115" t="s">
        <v>21</v>
      </c>
      <c r="B806" s="116">
        <v>2000180027</v>
      </c>
      <c r="C806" s="116">
        <v>3.0489999999999999</v>
      </c>
      <c r="D806" s="117">
        <v>15</v>
      </c>
      <c r="E806" s="117"/>
      <c r="F806" s="117">
        <v>225</v>
      </c>
      <c r="G806" s="117">
        <v>1125</v>
      </c>
      <c r="H806" s="123"/>
      <c r="I806" s="117" t="s">
        <v>122</v>
      </c>
      <c r="J806" s="115">
        <v>386</v>
      </c>
      <c r="K806" s="115" t="s">
        <v>23</v>
      </c>
      <c r="L806" s="117" t="s">
        <v>24</v>
      </c>
      <c r="M806" s="66">
        <v>144400</v>
      </c>
      <c r="N806" s="66">
        <v>9598</v>
      </c>
      <c r="O806" s="66">
        <v>49096</v>
      </c>
      <c r="P806" s="66">
        <v>193496</v>
      </c>
      <c r="Q806" s="67">
        <v>0.4</v>
      </c>
      <c r="R806" s="66">
        <v>77398</v>
      </c>
      <c r="S806" s="66">
        <v>270895</v>
      </c>
      <c r="T806" s="106">
        <f>IF(A806="Upgrade",IF(OR(H806=4,H806=5),_xlfn.XLOOKUP(I806,'Renewal Rates'!$A$22:$A$27,'Renewal Rates'!$B$22:$B$27,'Renewal Rates'!$B$27,0),'Renewal Rates'!$F$7),IF(A806="Renewal",100%,0%))</f>
        <v>2.6599999999999999E-2</v>
      </c>
      <c r="U806" s="68">
        <f t="shared" ref="U806:U869" si="13">S806*T806</f>
        <v>7205.8069999999998</v>
      </c>
    </row>
    <row r="807" spans="1:21" s="41" customFormat="1" ht="13.8" x14ac:dyDescent="0.3">
      <c r="A807" s="115" t="s">
        <v>21</v>
      </c>
      <c r="B807" s="116">
        <v>2000427348</v>
      </c>
      <c r="C807" s="116">
        <v>3.0489999999999999</v>
      </c>
      <c r="D807" s="117">
        <v>54.2</v>
      </c>
      <c r="E807" s="117"/>
      <c r="F807" s="117">
        <v>225</v>
      </c>
      <c r="G807" s="117">
        <v>1125</v>
      </c>
      <c r="H807" s="123"/>
      <c r="I807" s="117" t="s">
        <v>122</v>
      </c>
      <c r="J807" s="115">
        <v>386</v>
      </c>
      <c r="K807" s="115" t="s">
        <v>23</v>
      </c>
      <c r="L807" s="117" t="s">
        <v>24</v>
      </c>
      <c r="M807" s="66">
        <v>404050</v>
      </c>
      <c r="N807" s="66">
        <v>7456</v>
      </c>
      <c r="O807" s="66">
        <v>137377</v>
      </c>
      <c r="P807" s="66">
        <v>541427</v>
      </c>
      <c r="Q807" s="67">
        <v>0.4</v>
      </c>
      <c r="R807" s="66">
        <v>216571</v>
      </c>
      <c r="S807" s="66">
        <v>757997</v>
      </c>
      <c r="T807" s="106">
        <f>IF(A807="Upgrade",IF(OR(H807=4,H807=5),_xlfn.XLOOKUP(I807,'Renewal Rates'!$A$22:$A$27,'Renewal Rates'!$B$22:$B$27,'Renewal Rates'!$B$27,0),'Renewal Rates'!$F$7),IF(A807="Renewal",100%,0%))</f>
        <v>2.6599999999999999E-2</v>
      </c>
      <c r="U807" s="68">
        <f t="shared" si="13"/>
        <v>20162.7202</v>
      </c>
    </row>
    <row r="808" spans="1:21" s="41" customFormat="1" ht="13.8" x14ac:dyDescent="0.3">
      <c r="A808" s="115" t="s">
        <v>21</v>
      </c>
      <c r="B808" s="116">
        <v>2000130082</v>
      </c>
      <c r="C808" s="116">
        <v>3.05</v>
      </c>
      <c r="D808" s="117">
        <v>29.7</v>
      </c>
      <c r="E808" s="117"/>
      <c r="F808" s="117">
        <v>225</v>
      </c>
      <c r="G808" s="117">
        <v>975</v>
      </c>
      <c r="H808" s="123"/>
      <c r="I808" s="117" t="s">
        <v>122</v>
      </c>
      <c r="J808" s="115">
        <v>386</v>
      </c>
      <c r="K808" s="115" t="s">
        <v>23</v>
      </c>
      <c r="L808" s="117" t="s">
        <v>24</v>
      </c>
      <c r="M808" s="66">
        <v>212939</v>
      </c>
      <c r="N808" s="66">
        <v>7158</v>
      </c>
      <c r="O808" s="66">
        <v>72399</v>
      </c>
      <c r="P808" s="66">
        <v>285338</v>
      </c>
      <c r="Q808" s="67">
        <v>0.4</v>
      </c>
      <c r="R808" s="66">
        <v>114135</v>
      </c>
      <c r="S808" s="66">
        <v>399474</v>
      </c>
      <c r="T808" s="106">
        <f>IF(A808="Upgrade",IF(OR(H808=4,H808=5),_xlfn.XLOOKUP(I808,'Renewal Rates'!$A$22:$A$27,'Renewal Rates'!$B$22:$B$27,'Renewal Rates'!$B$27,0),'Renewal Rates'!$F$7),IF(A808="Renewal",100%,0%))</f>
        <v>2.6599999999999999E-2</v>
      </c>
      <c r="U808" s="68">
        <f t="shared" si="13"/>
        <v>10626.008399999999</v>
      </c>
    </row>
    <row r="809" spans="1:21" s="41" customFormat="1" ht="13.8" x14ac:dyDescent="0.3">
      <c r="A809" s="115" t="s">
        <v>21</v>
      </c>
      <c r="B809" s="116">
        <v>2000794336</v>
      </c>
      <c r="C809" s="116">
        <v>3.05</v>
      </c>
      <c r="D809" s="117">
        <v>76.7</v>
      </c>
      <c r="E809" s="117"/>
      <c r="F809" s="117">
        <v>225</v>
      </c>
      <c r="G809" s="117">
        <v>975</v>
      </c>
      <c r="H809" s="123"/>
      <c r="I809" s="117" t="s">
        <v>122</v>
      </c>
      <c r="J809" s="115">
        <v>386</v>
      </c>
      <c r="K809" s="115" t="s">
        <v>23</v>
      </c>
      <c r="L809" s="117" t="s">
        <v>24</v>
      </c>
      <c r="M809" s="66">
        <v>474866</v>
      </c>
      <c r="N809" s="66">
        <v>6191</v>
      </c>
      <c r="O809" s="66">
        <v>161454</v>
      </c>
      <c r="P809" s="66">
        <v>636320</v>
      </c>
      <c r="Q809" s="67">
        <v>0.4</v>
      </c>
      <c r="R809" s="66">
        <v>254528</v>
      </c>
      <c r="S809" s="66">
        <v>890848</v>
      </c>
      <c r="T809" s="106">
        <f>IF(A809="Upgrade",IF(OR(H809=4,H809=5),_xlfn.XLOOKUP(I809,'Renewal Rates'!$A$22:$A$27,'Renewal Rates'!$B$22:$B$27,'Renewal Rates'!$B$27,0),'Renewal Rates'!$F$7),IF(A809="Renewal",100%,0%))</f>
        <v>2.6599999999999999E-2</v>
      </c>
      <c r="U809" s="68">
        <f t="shared" si="13"/>
        <v>23696.556799999998</v>
      </c>
    </row>
    <row r="810" spans="1:21" s="41" customFormat="1" ht="13.8" x14ac:dyDescent="0.3">
      <c r="A810" s="115" t="s">
        <v>21</v>
      </c>
      <c r="B810" s="116">
        <v>2000080257</v>
      </c>
      <c r="C810" s="116">
        <v>3.05</v>
      </c>
      <c r="D810" s="117">
        <v>68.900000000000006</v>
      </c>
      <c r="E810" s="117"/>
      <c r="F810" s="117">
        <v>300</v>
      </c>
      <c r="G810" s="117">
        <v>975</v>
      </c>
      <c r="H810" s="123"/>
      <c r="I810" s="117" t="s">
        <v>122</v>
      </c>
      <c r="J810" s="115">
        <v>386</v>
      </c>
      <c r="K810" s="115" t="s">
        <v>23</v>
      </c>
      <c r="L810" s="117" t="s">
        <v>24</v>
      </c>
      <c r="M810" s="66">
        <v>437655</v>
      </c>
      <c r="N810" s="66">
        <v>6355</v>
      </c>
      <c r="O810" s="66">
        <v>148803</v>
      </c>
      <c r="P810" s="66">
        <v>586458</v>
      </c>
      <c r="Q810" s="67">
        <v>0.4</v>
      </c>
      <c r="R810" s="66">
        <v>234583</v>
      </c>
      <c r="S810" s="66">
        <v>821041</v>
      </c>
      <c r="T810" s="106">
        <f>IF(A810="Upgrade",IF(OR(H810=4,H810=5),_xlfn.XLOOKUP(I810,'Renewal Rates'!$A$22:$A$27,'Renewal Rates'!$B$22:$B$27,'Renewal Rates'!$B$27,0),'Renewal Rates'!$F$7),IF(A810="Renewal",100%,0%))</f>
        <v>2.6599999999999999E-2</v>
      </c>
      <c r="U810" s="68">
        <f t="shared" si="13"/>
        <v>21839.690599999998</v>
      </c>
    </row>
    <row r="811" spans="1:21" s="41" customFormat="1" ht="13.8" x14ac:dyDescent="0.3">
      <c r="A811" s="115" t="s">
        <v>21</v>
      </c>
      <c r="B811" s="116">
        <v>2000095718</v>
      </c>
      <c r="C811" s="116">
        <v>3.05</v>
      </c>
      <c r="D811" s="117">
        <v>17.3</v>
      </c>
      <c r="E811" s="117"/>
      <c r="F811" s="117">
        <v>225</v>
      </c>
      <c r="G811" s="117">
        <v>975</v>
      </c>
      <c r="H811" s="123"/>
      <c r="I811" s="117" t="s">
        <v>122</v>
      </c>
      <c r="J811" s="115">
        <v>386</v>
      </c>
      <c r="K811" s="115" t="s">
        <v>23</v>
      </c>
      <c r="L811" s="117" t="s">
        <v>24</v>
      </c>
      <c r="M811" s="66">
        <v>144426</v>
      </c>
      <c r="N811" s="66">
        <v>8360</v>
      </c>
      <c r="O811" s="66">
        <v>49105</v>
      </c>
      <c r="P811" s="66">
        <v>193531</v>
      </c>
      <c r="Q811" s="67">
        <v>0.4</v>
      </c>
      <c r="R811" s="66">
        <v>77412</v>
      </c>
      <c r="S811" s="66">
        <v>270943</v>
      </c>
      <c r="T811" s="106">
        <f>IF(A811="Upgrade",IF(OR(H811=4,H811=5),_xlfn.XLOOKUP(I811,'Renewal Rates'!$A$22:$A$27,'Renewal Rates'!$B$22:$B$27,'Renewal Rates'!$B$27,0),'Renewal Rates'!$F$7),IF(A811="Renewal",100%,0%))</f>
        <v>2.6599999999999999E-2</v>
      </c>
      <c r="U811" s="68">
        <f t="shared" si="13"/>
        <v>7207.0837999999994</v>
      </c>
    </row>
    <row r="812" spans="1:21" s="41" customFormat="1" ht="13.8" x14ac:dyDescent="0.3">
      <c r="A812" s="115" t="s">
        <v>25</v>
      </c>
      <c r="B812" s="116" t="s">
        <v>22</v>
      </c>
      <c r="C812" s="116">
        <v>3.0139999999999998</v>
      </c>
      <c r="D812" s="117"/>
      <c r="E812" s="117">
        <v>70.599999999999994</v>
      </c>
      <c r="F812" s="117"/>
      <c r="G812" s="117">
        <v>450</v>
      </c>
      <c r="H812" s="123"/>
      <c r="I812" s="117" t="s">
        <v>122</v>
      </c>
      <c r="J812" s="115">
        <v>386</v>
      </c>
      <c r="K812" s="115" t="s">
        <v>23</v>
      </c>
      <c r="L812" s="117" t="s">
        <v>24</v>
      </c>
      <c r="M812" s="66">
        <v>191790</v>
      </c>
      <c r="N812" s="66">
        <v>2717</v>
      </c>
      <c r="O812" s="66">
        <v>65209</v>
      </c>
      <c r="P812" s="66">
        <v>256999</v>
      </c>
      <c r="Q812" s="67">
        <v>0.4</v>
      </c>
      <c r="R812" s="66">
        <v>102800</v>
      </c>
      <c r="S812" s="66">
        <v>359799</v>
      </c>
      <c r="T812" s="106">
        <f>IF(A812="Upgrade",IF(OR(H812=4,H812=5),_xlfn.XLOOKUP(I812,'Renewal Rates'!$A$22:$A$27,'Renewal Rates'!$B$22:$B$27,'Renewal Rates'!$B$27,0),'Renewal Rates'!$F$7),IF(A812="Renewal",100%,0%))</f>
        <v>0</v>
      </c>
      <c r="U812" s="68">
        <f t="shared" si="13"/>
        <v>0</v>
      </c>
    </row>
    <row r="813" spans="1:21" s="41" customFormat="1" ht="13.8" x14ac:dyDescent="0.3">
      <c r="A813" s="115" t="s">
        <v>25</v>
      </c>
      <c r="B813" s="116" t="s">
        <v>22</v>
      </c>
      <c r="C813" s="116">
        <v>3.0019999999999998</v>
      </c>
      <c r="D813" s="117"/>
      <c r="E813" s="117">
        <v>101.8</v>
      </c>
      <c r="F813" s="117"/>
      <c r="G813" s="117">
        <v>450</v>
      </c>
      <c r="H813" s="123"/>
      <c r="I813" s="117" t="s">
        <v>122</v>
      </c>
      <c r="J813" s="115">
        <v>386</v>
      </c>
      <c r="K813" s="115" t="s">
        <v>23</v>
      </c>
      <c r="L813" s="117" t="s">
        <v>24</v>
      </c>
      <c r="M813" s="66">
        <v>291660</v>
      </c>
      <c r="N813" s="66">
        <v>2866</v>
      </c>
      <c r="O813" s="66">
        <v>99164</v>
      </c>
      <c r="P813" s="66">
        <v>390824</v>
      </c>
      <c r="Q813" s="67">
        <v>0.4</v>
      </c>
      <c r="R813" s="66">
        <v>156330</v>
      </c>
      <c r="S813" s="66">
        <v>547154</v>
      </c>
      <c r="T813" s="106">
        <f>IF(A813="Upgrade",IF(OR(H813=4,H813=5),_xlfn.XLOOKUP(I813,'Renewal Rates'!$A$22:$A$27,'Renewal Rates'!$B$22:$B$27,'Renewal Rates'!$B$27,0),'Renewal Rates'!$F$7),IF(A813="Renewal",100%,0%))</f>
        <v>0</v>
      </c>
      <c r="U813" s="68">
        <f t="shared" si="13"/>
        <v>0</v>
      </c>
    </row>
    <row r="814" spans="1:21" s="41" customFormat="1" ht="13.8" x14ac:dyDescent="0.3">
      <c r="A814" s="115" t="s">
        <v>25</v>
      </c>
      <c r="B814" s="116" t="s">
        <v>22</v>
      </c>
      <c r="C814" s="116">
        <v>3.0030000000000001</v>
      </c>
      <c r="D814" s="117"/>
      <c r="E814" s="117">
        <v>52.2</v>
      </c>
      <c r="F814" s="117"/>
      <c r="G814" s="117">
        <v>450</v>
      </c>
      <c r="H814" s="123"/>
      <c r="I814" s="117" t="s">
        <v>122</v>
      </c>
      <c r="J814" s="115">
        <v>386</v>
      </c>
      <c r="K814" s="115" t="s">
        <v>23</v>
      </c>
      <c r="L814" s="117" t="s">
        <v>24</v>
      </c>
      <c r="M814" s="66">
        <v>159265</v>
      </c>
      <c r="N814" s="66">
        <v>3050</v>
      </c>
      <c r="O814" s="66">
        <v>54150</v>
      </c>
      <c r="P814" s="66">
        <v>213415</v>
      </c>
      <c r="Q814" s="67">
        <v>0.4</v>
      </c>
      <c r="R814" s="66">
        <v>85366</v>
      </c>
      <c r="S814" s="66">
        <v>298782</v>
      </c>
      <c r="T814" s="106">
        <f>IF(A814="Upgrade",IF(OR(H814=4,H814=5),_xlfn.XLOOKUP(I814,'Renewal Rates'!$A$22:$A$27,'Renewal Rates'!$B$22:$B$27,'Renewal Rates'!$B$27,0),'Renewal Rates'!$F$7),IF(A814="Renewal",100%,0%))</f>
        <v>0</v>
      </c>
      <c r="U814" s="68">
        <f t="shared" si="13"/>
        <v>0</v>
      </c>
    </row>
    <row r="815" spans="1:21" s="41" customFormat="1" ht="13.8" x14ac:dyDescent="0.3">
      <c r="A815" s="115" t="s">
        <v>25</v>
      </c>
      <c r="B815" s="116" t="s">
        <v>22</v>
      </c>
      <c r="C815" s="116">
        <v>3.012</v>
      </c>
      <c r="D815" s="117"/>
      <c r="E815" s="117">
        <v>70.7</v>
      </c>
      <c r="F815" s="117"/>
      <c r="G815" s="117">
        <v>525</v>
      </c>
      <c r="H815" s="123"/>
      <c r="I815" s="117" t="s">
        <v>122</v>
      </c>
      <c r="J815" s="115">
        <v>386</v>
      </c>
      <c r="K815" s="115" t="s">
        <v>23</v>
      </c>
      <c r="L815" s="117" t="s">
        <v>24</v>
      </c>
      <c r="M815" s="66">
        <v>221690</v>
      </c>
      <c r="N815" s="66">
        <v>3136</v>
      </c>
      <c r="O815" s="66">
        <v>75375</v>
      </c>
      <c r="P815" s="66">
        <v>297065</v>
      </c>
      <c r="Q815" s="67">
        <v>0.4</v>
      </c>
      <c r="R815" s="66">
        <v>118826</v>
      </c>
      <c r="S815" s="66">
        <v>415891</v>
      </c>
      <c r="T815" s="106">
        <f>IF(A815="Upgrade",IF(OR(H815=4,H815=5),_xlfn.XLOOKUP(I815,'Renewal Rates'!$A$22:$A$27,'Renewal Rates'!$B$22:$B$27,'Renewal Rates'!$B$27,0),'Renewal Rates'!$F$7),IF(A815="Renewal",100%,0%))</f>
        <v>0</v>
      </c>
      <c r="U815" s="68">
        <f t="shared" si="13"/>
        <v>0</v>
      </c>
    </row>
    <row r="816" spans="1:21" s="41" customFormat="1" ht="13.8" x14ac:dyDescent="0.3">
      <c r="A816" s="115" t="s">
        <v>25</v>
      </c>
      <c r="B816" s="116" t="s">
        <v>22</v>
      </c>
      <c r="C816" s="116">
        <v>3.0070000000000001</v>
      </c>
      <c r="D816" s="117"/>
      <c r="E816" s="117">
        <v>294.5</v>
      </c>
      <c r="F816" s="117"/>
      <c r="G816" s="117">
        <v>750</v>
      </c>
      <c r="H816" s="123"/>
      <c r="I816" s="117" t="s">
        <v>122</v>
      </c>
      <c r="J816" s="115">
        <v>386</v>
      </c>
      <c r="K816" s="115" t="s">
        <v>23</v>
      </c>
      <c r="L816" s="117" t="s">
        <v>24</v>
      </c>
      <c r="M816" s="66">
        <v>1174986</v>
      </c>
      <c r="N816" s="66">
        <v>3990</v>
      </c>
      <c r="O816" s="66">
        <v>399495</v>
      </c>
      <c r="P816" s="66">
        <v>1574481</v>
      </c>
      <c r="Q816" s="67">
        <v>0.4</v>
      </c>
      <c r="R816" s="66">
        <v>629792</v>
      </c>
      <c r="S816" s="66">
        <v>2204273</v>
      </c>
      <c r="T816" s="106">
        <f>IF(A816="Upgrade",IF(OR(H816=4,H816=5),_xlfn.XLOOKUP(I816,'Renewal Rates'!$A$22:$A$27,'Renewal Rates'!$B$22:$B$27,'Renewal Rates'!$B$27,0),'Renewal Rates'!$F$7),IF(A816="Renewal",100%,0%))</f>
        <v>0</v>
      </c>
      <c r="U816" s="68">
        <f t="shared" si="13"/>
        <v>0</v>
      </c>
    </row>
    <row r="817" spans="1:21" s="41" customFormat="1" ht="13.8" x14ac:dyDescent="0.3">
      <c r="A817" s="115" t="s">
        <v>25</v>
      </c>
      <c r="B817" s="116" t="s">
        <v>22</v>
      </c>
      <c r="C817" s="116">
        <v>3.004</v>
      </c>
      <c r="D817" s="117"/>
      <c r="E817" s="117">
        <v>81</v>
      </c>
      <c r="F817" s="117"/>
      <c r="G817" s="117">
        <v>450</v>
      </c>
      <c r="H817" s="123"/>
      <c r="I817" s="117" t="s">
        <v>122</v>
      </c>
      <c r="J817" s="115">
        <v>386</v>
      </c>
      <c r="K817" s="115" t="s">
        <v>23</v>
      </c>
      <c r="L817" s="117" t="s">
        <v>24</v>
      </c>
      <c r="M817" s="66">
        <v>202303</v>
      </c>
      <c r="N817" s="66">
        <v>2496</v>
      </c>
      <c r="O817" s="66">
        <v>68783</v>
      </c>
      <c r="P817" s="66">
        <v>271087</v>
      </c>
      <c r="Q817" s="67">
        <v>0.4</v>
      </c>
      <c r="R817" s="66">
        <v>108435</v>
      </c>
      <c r="S817" s="66">
        <v>379521</v>
      </c>
      <c r="T817" s="106">
        <f>IF(A817="Upgrade",IF(OR(H817=4,H817=5),_xlfn.XLOOKUP(I817,'Renewal Rates'!$A$22:$A$27,'Renewal Rates'!$B$22:$B$27,'Renewal Rates'!$B$27,0),'Renewal Rates'!$F$7),IF(A817="Renewal",100%,0%))</f>
        <v>0</v>
      </c>
      <c r="U817" s="68">
        <f t="shared" si="13"/>
        <v>0</v>
      </c>
    </row>
    <row r="818" spans="1:21" s="41" customFormat="1" ht="13.8" x14ac:dyDescent="0.3">
      <c r="A818" s="115" t="s">
        <v>21</v>
      </c>
      <c r="B818" s="116">
        <v>2000051820</v>
      </c>
      <c r="C818" s="116">
        <v>4.01</v>
      </c>
      <c r="D818" s="117">
        <v>7.2</v>
      </c>
      <c r="E818" s="117"/>
      <c r="F818" s="117">
        <v>600</v>
      </c>
      <c r="G818" s="117">
        <v>825</v>
      </c>
      <c r="H818" s="123">
        <v>4</v>
      </c>
      <c r="I818" s="117">
        <v>2</v>
      </c>
      <c r="J818" s="115">
        <v>386</v>
      </c>
      <c r="K818" s="115" t="s">
        <v>23</v>
      </c>
      <c r="L818" s="117" t="s">
        <v>24</v>
      </c>
      <c r="M818" s="66">
        <v>83528</v>
      </c>
      <c r="N818" s="66">
        <v>11522</v>
      </c>
      <c r="O818" s="66">
        <v>28400</v>
      </c>
      <c r="P818" s="66">
        <v>111928</v>
      </c>
      <c r="Q818" s="67">
        <v>0.4</v>
      </c>
      <c r="R818" s="66">
        <v>44771</v>
      </c>
      <c r="S818" s="66">
        <v>156699</v>
      </c>
      <c r="T818" s="106">
        <f>IF(A818="Upgrade",IF(OR(H818=4,H818=5),_xlfn.XLOOKUP(I818,'Renewal Rates'!$A$22:$A$27,'Renewal Rates'!$B$22:$B$27,'Renewal Rates'!$B$27,0),'Renewal Rates'!$F$7),IF(A818="Renewal",100%,0%))</f>
        <v>0</v>
      </c>
      <c r="U818" s="68">
        <f t="shared" si="13"/>
        <v>0</v>
      </c>
    </row>
    <row r="819" spans="1:21" s="41" customFormat="1" ht="13.8" x14ac:dyDescent="0.3">
      <c r="A819" s="115" t="s">
        <v>21</v>
      </c>
      <c r="B819" s="116">
        <v>2000798957</v>
      </c>
      <c r="C819" s="116">
        <v>4.01</v>
      </c>
      <c r="D819" s="117">
        <v>5.6</v>
      </c>
      <c r="E819" s="117"/>
      <c r="F819" s="117">
        <v>600</v>
      </c>
      <c r="G819" s="117">
        <v>825</v>
      </c>
      <c r="H819" s="123">
        <v>4</v>
      </c>
      <c r="I819" s="117">
        <v>2</v>
      </c>
      <c r="J819" s="115">
        <v>386</v>
      </c>
      <c r="K819" s="115" t="s">
        <v>23</v>
      </c>
      <c r="L819" s="117" t="s">
        <v>24</v>
      </c>
      <c r="M819" s="66">
        <v>57658</v>
      </c>
      <c r="N819" s="66">
        <v>10244</v>
      </c>
      <c r="O819" s="66">
        <v>19604</v>
      </c>
      <c r="P819" s="66">
        <v>77261</v>
      </c>
      <c r="Q819" s="67">
        <v>0.4</v>
      </c>
      <c r="R819" s="66">
        <v>30905</v>
      </c>
      <c r="S819" s="66">
        <v>108166</v>
      </c>
      <c r="T819" s="106">
        <f>IF(A819="Upgrade",IF(OR(H819=4,H819=5),_xlfn.XLOOKUP(I819,'Renewal Rates'!$A$22:$A$27,'Renewal Rates'!$B$22:$B$27,'Renewal Rates'!$B$27,0),'Renewal Rates'!$F$7),IF(A819="Renewal",100%,0%))</f>
        <v>0</v>
      </c>
      <c r="U819" s="68">
        <f t="shared" si="13"/>
        <v>0</v>
      </c>
    </row>
    <row r="820" spans="1:21" s="41" customFormat="1" ht="13.8" x14ac:dyDescent="0.3">
      <c r="A820" s="115" t="s">
        <v>21</v>
      </c>
      <c r="B820" s="116">
        <v>2000084415</v>
      </c>
      <c r="C820" s="116">
        <v>4.01</v>
      </c>
      <c r="D820" s="117">
        <v>11.4</v>
      </c>
      <c r="E820" s="117"/>
      <c r="F820" s="117">
        <v>600</v>
      </c>
      <c r="G820" s="117">
        <v>825</v>
      </c>
      <c r="H820" s="123">
        <v>4</v>
      </c>
      <c r="I820" s="117">
        <v>2</v>
      </c>
      <c r="J820" s="115">
        <v>386</v>
      </c>
      <c r="K820" s="115" t="s">
        <v>23</v>
      </c>
      <c r="L820" s="117" t="s">
        <v>24</v>
      </c>
      <c r="M820" s="66">
        <v>85925</v>
      </c>
      <c r="N820" s="66">
        <v>7523</v>
      </c>
      <c r="O820" s="66">
        <v>29215</v>
      </c>
      <c r="P820" s="66">
        <v>115140</v>
      </c>
      <c r="Q820" s="67">
        <v>0.4</v>
      </c>
      <c r="R820" s="66">
        <v>46056</v>
      </c>
      <c r="S820" s="66">
        <v>161196</v>
      </c>
      <c r="T820" s="106">
        <f>IF(A820="Upgrade",IF(OR(H820=4,H820=5),_xlfn.XLOOKUP(I820,'Renewal Rates'!$A$22:$A$27,'Renewal Rates'!$B$22:$B$27,'Renewal Rates'!$B$27,0),'Renewal Rates'!$F$7),IF(A820="Renewal",100%,0%))</f>
        <v>0</v>
      </c>
      <c r="U820" s="68">
        <f t="shared" si="13"/>
        <v>0</v>
      </c>
    </row>
    <row r="821" spans="1:21" s="41" customFormat="1" ht="13.8" x14ac:dyDescent="0.3">
      <c r="A821" s="115" t="s">
        <v>21</v>
      </c>
      <c r="B821" s="116">
        <v>2000076955</v>
      </c>
      <c r="C821" s="116">
        <v>4.01</v>
      </c>
      <c r="D821" s="117">
        <v>69.5</v>
      </c>
      <c r="E821" s="117"/>
      <c r="F821" s="117">
        <v>450</v>
      </c>
      <c r="G821" s="117">
        <v>825</v>
      </c>
      <c r="H821" s="123">
        <v>4</v>
      </c>
      <c r="I821" s="117">
        <v>2</v>
      </c>
      <c r="J821" s="115">
        <v>386</v>
      </c>
      <c r="K821" s="115" t="s">
        <v>23</v>
      </c>
      <c r="L821" s="117" t="s">
        <v>24</v>
      </c>
      <c r="M821" s="66">
        <v>334551</v>
      </c>
      <c r="N821" s="66">
        <v>4812</v>
      </c>
      <c r="O821" s="66">
        <v>113747</v>
      </c>
      <c r="P821" s="66">
        <v>448298</v>
      </c>
      <c r="Q821" s="67">
        <v>0.4</v>
      </c>
      <c r="R821" s="66">
        <v>179319</v>
      </c>
      <c r="S821" s="66">
        <v>627617</v>
      </c>
      <c r="T821" s="106">
        <f>IF(A821="Upgrade",IF(OR(H821=4,H821=5),_xlfn.XLOOKUP(I821,'Renewal Rates'!$A$22:$A$27,'Renewal Rates'!$B$22:$B$27,'Renewal Rates'!$B$27,0),'Renewal Rates'!$F$7),IF(A821="Renewal",100%,0%))</f>
        <v>0</v>
      </c>
      <c r="U821" s="68">
        <f t="shared" si="13"/>
        <v>0</v>
      </c>
    </row>
    <row r="822" spans="1:21" s="41" customFormat="1" ht="13.8" x14ac:dyDescent="0.3">
      <c r="A822" s="115" t="s">
        <v>21</v>
      </c>
      <c r="B822" s="116">
        <v>2000006873</v>
      </c>
      <c r="C822" s="116">
        <v>4.01</v>
      </c>
      <c r="D822" s="117">
        <v>24.7</v>
      </c>
      <c r="E822" s="117"/>
      <c r="F822" s="117">
        <v>450</v>
      </c>
      <c r="G822" s="117">
        <v>825</v>
      </c>
      <c r="H822" s="123">
        <v>4</v>
      </c>
      <c r="I822" s="117">
        <v>1</v>
      </c>
      <c r="J822" s="115">
        <v>386</v>
      </c>
      <c r="K822" s="115" t="s">
        <v>23</v>
      </c>
      <c r="L822" s="117" t="s">
        <v>24</v>
      </c>
      <c r="M822" s="66">
        <v>125595</v>
      </c>
      <c r="N822" s="66">
        <v>5085</v>
      </c>
      <c r="O822" s="66">
        <v>42702</v>
      </c>
      <c r="P822" s="66">
        <v>168298</v>
      </c>
      <c r="Q822" s="67">
        <v>0.4</v>
      </c>
      <c r="R822" s="66">
        <v>67319</v>
      </c>
      <c r="S822" s="66">
        <v>235617</v>
      </c>
      <c r="T822" s="106">
        <f>IF(A822="Upgrade",IF(OR(H822=4,H822=5),_xlfn.XLOOKUP(I822,'Renewal Rates'!$A$22:$A$27,'Renewal Rates'!$B$22:$B$27,'Renewal Rates'!$B$27,0),'Renewal Rates'!$F$7),IF(A822="Renewal",100%,0%))</f>
        <v>0</v>
      </c>
      <c r="U822" s="68">
        <f t="shared" si="13"/>
        <v>0</v>
      </c>
    </row>
    <row r="823" spans="1:21" s="41" customFormat="1" ht="13.8" x14ac:dyDescent="0.3">
      <c r="A823" s="115" t="s">
        <v>21</v>
      </c>
      <c r="B823" s="116">
        <v>2000652341</v>
      </c>
      <c r="C823" s="116">
        <v>4.0090000000000003</v>
      </c>
      <c r="D823" s="117">
        <v>2.5</v>
      </c>
      <c r="E823" s="117"/>
      <c r="F823" s="117">
        <v>300</v>
      </c>
      <c r="G823" s="117">
        <v>825</v>
      </c>
      <c r="H823" s="123"/>
      <c r="I823" s="117" t="s">
        <v>122</v>
      </c>
      <c r="J823" s="115">
        <v>386</v>
      </c>
      <c r="K823" s="115" t="s">
        <v>23</v>
      </c>
      <c r="L823" s="117" t="s">
        <v>24</v>
      </c>
      <c r="M823" s="66">
        <v>52929</v>
      </c>
      <c r="N823" s="66">
        <v>20961</v>
      </c>
      <c r="O823" s="66">
        <v>17996</v>
      </c>
      <c r="P823" s="66">
        <v>70924</v>
      </c>
      <c r="Q823" s="67">
        <v>0.4</v>
      </c>
      <c r="R823" s="66">
        <v>28370</v>
      </c>
      <c r="S823" s="66">
        <v>99294</v>
      </c>
      <c r="T823" s="106">
        <f>IF(A823="Upgrade",IF(OR(H823=4,H823=5),_xlfn.XLOOKUP(I823,'Renewal Rates'!$A$22:$A$27,'Renewal Rates'!$B$22:$B$27,'Renewal Rates'!$B$27,0),'Renewal Rates'!$F$7),IF(A823="Renewal",100%,0%))</f>
        <v>2.6599999999999999E-2</v>
      </c>
      <c r="U823" s="68">
        <f t="shared" si="13"/>
        <v>2641.2203999999997</v>
      </c>
    </row>
    <row r="824" spans="1:21" s="41" customFormat="1" ht="13.8" x14ac:dyDescent="0.3">
      <c r="A824" s="115" t="s">
        <v>21</v>
      </c>
      <c r="B824" s="116">
        <v>2000371630</v>
      </c>
      <c r="C824" s="116">
        <v>4.0090000000000003</v>
      </c>
      <c r="D824" s="117">
        <v>31.9</v>
      </c>
      <c r="E824" s="117"/>
      <c r="F824" s="117">
        <v>600</v>
      </c>
      <c r="G824" s="117">
        <v>825</v>
      </c>
      <c r="H824" s="123">
        <v>5</v>
      </c>
      <c r="I824" s="117">
        <v>2</v>
      </c>
      <c r="J824" s="115">
        <v>386</v>
      </c>
      <c r="K824" s="115" t="s">
        <v>23</v>
      </c>
      <c r="L824" s="117" t="s">
        <v>24</v>
      </c>
      <c r="M824" s="66">
        <v>156062</v>
      </c>
      <c r="N824" s="66">
        <v>4887</v>
      </c>
      <c r="O824" s="66">
        <v>53061</v>
      </c>
      <c r="P824" s="66">
        <v>209124</v>
      </c>
      <c r="Q824" s="67">
        <v>0.4</v>
      </c>
      <c r="R824" s="66">
        <v>83649</v>
      </c>
      <c r="S824" s="66">
        <v>292773</v>
      </c>
      <c r="T824" s="106">
        <f>IF(A824="Upgrade",IF(OR(H824=4,H824=5),_xlfn.XLOOKUP(I824,'Renewal Rates'!$A$22:$A$27,'Renewal Rates'!$B$22:$B$27,'Renewal Rates'!$B$27,0),'Renewal Rates'!$F$7),IF(A824="Renewal",100%,0%))</f>
        <v>0</v>
      </c>
      <c r="U824" s="68">
        <f t="shared" si="13"/>
        <v>0</v>
      </c>
    </row>
    <row r="825" spans="1:21" s="41" customFormat="1" ht="13.8" x14ac:dyDescent="0.3">
      <c r="A825" s="115" t="s">
        <v>21</v>
      </c>
      <c r="B825" s="116">
        <v>2000535212</v>
      </c>
      <c r="C825" s="116">
        <v>4.0090000000000003</v>
      </c>
      <c r="D825" s="117">
        <v>48.8</v>
      </c>
      <c r="E825" s="117"/>
      <c r="F825" s="117">
        <v>300</v>
      </c>
      <c r="G825" s="117">
        <v>825</v>
      </c>
      <c r="H825" s="123"/>
      <c r="I825" s="117" t="s">
        <v>122</v>
      </c>
      <c r="J825" s="115">
        <v>386</v>
      </c>
      <c r="K825" s="115" t="s">
        <v>23</v>
      </c>
      <c r="L825" s="117" t="s">
        <v>24</v>
      </c>
      <c r="M825" s="66">
        <v>220640</v>
      </c>
      <c r="N825" s="66">
        <v>4521</v>
      </c>
      <c r="O825" s="66">
        <v>75018</v>
      </c>
      <c r="P825" s="66">
        <v>295657</v>
      </c>
      <c r="Q825" s="67">
        <v>0.4</v>
      </c>
      <c r="R825" s="66">
        <v>118263</v>
      </c>
      <c r="S825" s="66">
        <v>413920</v>
      </c>
      <c r="T825" s="106">
        <f>IF(A825="Upgrade",IF(OR(H825=4,H825=5),_xlfn.XLOOKUP(I825,'Renewal Rates'!$A$22:$A$27,'Renewal Rates'!$B$22:$B$27,'Renewal Rates'!$B$27,0),'Renewal Rates'!$F$7),IF(A825="Renewal",100%,0%))</f>
        <v>2.6599999999999999E-2</v>
      </c>
      <c r="U825" s="68">
        <f t="shared" si="13"/>
        <v>11010.271999999999</v>
      </c>
    </row>
    <row r="826" spans="1:21" s="41" customFormat="1" ht="13.8" x14ac:dyDescent="0.3">
      <c r="A826" s="115" t="s">
        <v>21</v>
      </c>
      <c r="B826" s="116">
        <v>3000102819</v>
      </c>
      <c r="C826" s="116">
        <v>4.0090000000000003</v>
      </c>
      <c r="D826" s="117">
        <v>23</v>
      </c>
      <c r="E826" s="117"/>
      <c r="F826" s="117">
        <v>450</v>
      </c>
      <c r="G826" s="117">
        <v>825</v>
      </c>
      <c r="H826" s="123"/>
      <c r="I826" s="117" t="s">
        <v>122</v>
      </c>
      <c r="J826" s="115">
        <v>386</v>
      </c>
      <c r="K826" s="115" t="s">
        <v>23</v>
      </c>
      <c r="L826" s="117" t="s">
        <v>24</v>
      </c>
      <c r="M826" s="66">
        <v>122964</v>
      </c>
      <c r="N826" s="66">
        <v>5353</v>
      </c>
      <c r="O826" s="66">
        <v>41808</v>
      </c>
      <c r="P826" s="66">
        <v>164772</v>
      </c>
      <c r="Q826" s="67">
        <v>0.4</v>
      </c>
      <c r="R826" s="66">
        <v>65909</v>
      </c>
      <c r="S826" s="66">
        <v>230680</v>
      </c>
      <c r="T826" s="106">
        <f>IF(A826="Upgrade",IF(OR(H826=4,H826=5),_xlfn.XLOOKUP(I826,'Renewal Rates'!$A$22:$A$27,'Renewal Rates'!$B$22:$B$27,'Renewal Rates'!$B$27,0),'Renewal Rates'!$F$7),IF(A826="Renewal",100%,0%))</f>
        <v>2.6599999999999999E-2</v>
      </c>
      <c r="U826" s="68">
        <f t="shared" si="13"/>
        <v>6136.0879999999997</v>
      </c>
    </row>
    <row r="827" spans="1:21" s="41" customFormat="1" ht="13.8" x14ac:dyDescent="0.3">
      <c r="A827" s="115" t="s">
        <v>21</v>
      </c>
      <c r="B827" s="116">
        <v>2000834332</v>
      </c>
      <c r="C827" s="116">
        <v>4.0090000000000003</v>
      </c>
      <c r="D827" s="117">
        <v>3.9</v>
      </c>
      <c r="E827" s="117"/>
      <c r="F827" s="117">
        <v>450</v>
      </c>
      <c r="G827" s="117">
        <v>825</v>
      </c>
      <c r="H827" s="123"/>
      <c r="I827" s="117" t="s">
        <v>122</v>
      </c>
      <c r="J827" s="115">
        <v>386</v>
      </c>
      <c r="K827" s="115" t="s">
        <v>23</v>
      </c>
      <c r="L827" s="117" t="s">
        <v>24</v>
      </c>
      <c r="M827" s="66">
        <v>54965</v>
      </c>
      <c r="N827" s="66">
        <v>14235</v>
      </c>
      <c r="O827" s="66">
        <v>18688</v>
      </c>
      <c r="P827" s="66">
        <v>73653</v>
      </c>
      <c r="Q827" s="67">
        <v>0.4</v>
      </c>
      <c r="R827" s="66">
        <v>29461</v>
      </c>
      <c r="S827" s="66">
        <v>103114</v>
      </c>
      <c r="T827" s="106">
        <f>IF(A827="Upgrade",IF(OR(H827=4,H827=5),_xlfn.XLOOKUP(I827,'Renewal Rates'!$A$22:$A$27,'Renewal Rates'!$B$22:$B$27,'Renewal Rates'!$B$27,0),'Renewal Rates'!$F$7),IF(A827="Renewal",100%,0%))</f>
        <v>2.6599999999999999E-2</v>
      </c>
      <c r="U827" s="68">
        <f t="shared" si="13"/>
        <v>2742.8323999999998</v>
      </c>
    </row>
    <row r="828" spans="1:21" s="41" customFormat="1" ht="13.8" x14ac:dyDescent="0.3">
      <c r="A828" s="115" t="s">
        <v>21</v>
      </c>
      <c r="B828" s="116">
        <v>2000857091</v>
      </c>
      <c r="C828" s="116">
        <v>4.0090000000000003</v>
      </c>
      <c r="D828" s="117">
        <v>11.4</v>
      </c>
      <c r="E828" s="117"/>
      <c r="F828" s="117">
        <v>300</v>
      </c>
      <c r="G828" s="117">
        <v>825</v>
      </c>
      <c r="H828" s="123"/>
      <c r="I828" s="117" t="s">
        <v>122</v>
      </c>
      <c r="J828" s="115">
        <v>386</v>
      </c>
      <c r="K828" s="115" t="s">
        <v>23</v>
      </c>
      <c r="L828" s="117" t="s">
        <v>24</v>
      </c>
      <c r="M828" s="66">
        <v>85886</v>
      </c>
      <c r="N828" s="66">
        <v>7536</v>
      </c>
      <c r="O828" s="66">
        <v>29201</v>
      </c>
      <c r="P828" s="66">
        <v>115087</v>
      </c>
      <c r="Q828" s="67">
        <v>0.4</v>
      </c>
      <c r="R828" s="66">
        <v>46035</v>
      </c>
      <c r="S828" s="66">
        <v>161122</v>
      </c>
      <c r="T828" s="106">
        <f>IF(A828="Upgrade",IF(OR(H828=4,H828=5),_xlfn.XLOOKUP(I828,'Renewal Rates'!$A$22:$A$27,'Renewal Rates'!$B$22:$B$27,'Renewal Rates'!$B$27,0),'Renewal Rates'!$F$7),IF(A828="Renewal",100%,0%))</f>
        <v>2.6599999999999999E-2</v>
      </c>
      <c r="U828" s="68">
        <f t="shared" si="13"/>
        <v>4285.8451999999997</v>
      </c>
    </row>
    <row r="829" spans="1:21" s="41" customFormat="1" ht="13.8" x14ac:dyDescent="0.3">
      <c r="A829" s="115" t="s">
        <v>21</v>
      </c>
      <c r="B829" s="116">
        <v>2000726036</v>
      </c>
      <c r="C829" s="116">
        <v>4.0090000000000003</v>
      </c>
      <c r="D829" s="117">
        <v>62.5</v>
      </c>
      <c r="E829" s="117"/>
      <c r="F829" s="117">
        <v>375</v>
      </c>
      <c r="G829" s="117">
        <v>825</v>
      </c>
      <c r="H829" s="123"/>
      <c r="I829" s="117" t="s">
        <v>122</v>
      </c>
      <c r="J829" s="115">
        <v>386</v>
      </c>
      <c r="K829" s="115" t="s">
        <v>23</v>
      </c>
      <c r="L829" s="117" t="s">
        <v>24</v>
      </c>
      <c r="M829" s="66">
        <v>304418</v>
      </c>
      <c r="N829" s="66">
        <v>4871</v>
      </c>
      <c r="O829" s="66">
        <v>103502</v>
      </c>
      <c r="P829" s="66">
        <v>407921</v>
      </c>
      <c r="Q829" s="67">
        <v>0.4</v>
      </c>
      <c r="R829" s="66">
        <v>163168</v>
      </c>
      <c r="S829" s="66">
        <v>571089</v>
      </c>
      <c r="T829" s="106">
        <f>IF(A829="Upgrade",IF(OR(H829=4,H829=5),_xlfn.XLOOKUP(I829,'Renewal Rates'!$A$22:$A$27,'Renewal Rates'!$B$22:$B$27,'Renewal Rates'!$B$27,0),'Renewal Rates'!$F$7),IF(A829="Renewal",100%,0%))</f>
        <v>2.6599999999999999E-2</v>
      </c>
      <c r="U829" s="68">
        <f t="shared" si="13"/>
        <v>15190.9674</v>
      </c>
    </row>
    <row r="830" spans="1:21" s="41" customFormat="1" ht="13.8" x14ac:dyDescent="0.3">
      <c r="A830" s="115" t="s">
        <v>21</v>
      </c>
      <c r="B830" s="116">
        <v>2000815067</v>
      </c>
      <c r="C830" s="116">
        <v>4.0090000000000003</v>
      </c>
      <c r="D830" s="117">
        <v>12</v>
      </c>
      <c r="E830" s="117"/>
      <c r="F830" s="117">
        <v>450</v>
      </c>
      <c r="G830" s="117">
        <v>825</v>
      </c>
      <c r="H830" s="123"/>
      <c r="I830" s="117" t="s">
        <v>122</v>
      </c>
      <c r="J830" s="115">
        <v>386</v>
      </c>
      <c r="K830" s="115" t="s">
        <v>23</v>
      </c>
      <c r="L830" s="117" t="s">
        <v>24</v>
      </c>
      <c r="M830" s="66">
        <v>86881</v>
      </c>
      <c r="N830" s="66">
        <v>7210</v>
      </c>
      <c r="O830" s="66">
        <v>29539</v>
      </c>
      <c r="P830" s="66">
        <v>116420</v>
      </c>
      <c r="Q830" s="67">
        <v>0.4</v>
      </c>
      <c r="R830" s="66">
        <v>46568</v>
      </c>
      <c r="S830" s="66">
        <v>162988</v>
      </c>
      <c r="T830" s="106">
        <f>IF(A830="Upgrade",IF(OR(H830=4,H830=5),_xlfn.XLOOKUP(I830,'Renewal Rates'!$A$22:$A$27,'Renewal Rates'!$B$22:$B$27,'Renewal Rates'!$B$27,0),'Renewal Rates'!$F$7),IF(A830="Renewal",100%,0%))</f>
        <v>2.6599999999999999E-2</v>
      </c>
      <c r="U830" s="68">
        <f t="shared" si="13"/>
        <v>4335.4807999999994</v>
      </c>
    </row>
    <row r="831" spans="1:21" s="41" customFormat="1" ht="13.8" x14ac:dyDescent="0.3">
      <c r="A831" s="115" t="s">
        <v>21</v>
      </c>
      <c r="B831" s="116">
        <v>2000845482</v>
      </c>
      <c r="C831" s="116">
        <v>4.0090000000000003</v>
      </c>
      <c r="D831" s="117">
        <v>48.3</v>
      </c>
      <c r="E831" s="117"/>
      <c r="F831" s="117">
        <v>450</v>
      </c>
      <c r="G831" s="117">
        <v>825</v>
      </c>
      <c r="H831" s="123"/>
      <c r="I831" s="117" t="s">
        <v>122</v>
      </c>
      <c r="J831" s="115">
        <v>386</v>
      </c>
      <c r="K831" s="115" t="s">
        <v>23</v>
      </c>
      <c r="L831" s="117" t="s">
        <v>24</v>
      </c>
      <c r="M831" s="66">
        <v>219908</v>
      </c>
      <c r="N831" s="66">
        <v>4551</v>
      </c>
      <c r="O831" s="66">
        <v>74769</v>
      </c>
      <c r="P831" s="66">
        <v>294676</v>
      </c>
      <c r="Q831" s="67">
        <v>0.4</v>
      </c>
      <c r="R831" s="66">
        <v>117870</v>
      </c>
      <c r="S831" s="66">
        <v>412547</v>
      </c>
      <c r="T831" s="106">
        <f>IF(A831="Upgrade",IF(OR(H831=4,H831=5),_xlfn.XLOOKUP(I831,'Renewal Rates'!$A$22:$A$27,'Renewal Rates'!$B$22:$B$27,'Renewal Rates'!$B$27,0),'Renewal Rates'!$F$7),IF(A831="Renewal",100%,0%))</f>
        <v>2.6599999999999999E-2</v>
      </c>
      <c r="U831" s="68">
        <f t="shared" si="13"/>
        <v>10973.750199999999</v>
      </c>
    </row>
    <row r="832" spans="1:21" s="41" customFormat="1" ht="13.8" x14ac:dyDescent="0.3">
      <c r="A832" s="115" t="s">
        <v>25</v>
      </c>
      <c r="B832" s="116" t="s">
        <v>22</v>
      </c>
      <c r="C832" s="116">
        <v>4.0110000000000001</v>
      </c>
      <c r="D832" s="117"/>
      <c r="E832" s="117">
        <v>75.400000000000006</v>
      </c>
      <c r="F832" s="117"/>
      <c r="G832" s="117">
        <v>675</v>
      </c>
      <c r="H832" s="123"/>
      <c r="I832" s="117" t="s">
        <v>122</v>
      </c>
      <c r="J832" s="115">
        <v>386</v>
      </c>
      <c r="K832" s="115" t="s">
        <v>23</v>
      </c>
      <c r="L832" s="117" t="s">
        <v>24</v>
      </c>
      <c r="M832" s="66">
        <v>324670</v>
      </c>
      <c r="N832" s="66">
        <v>4305</v>
      </c>
      <c r="O832" s="66">
        <v>110388</v>
      </c>
      <c r="P832" s="66">
        <v>435058</v>
      </c>
      <c r="Q832" s="67">
        <v>0.4</v>
      </c>
      <c r="R832" s="66">
        <v>174023</v>
      </c>
      <c r="S832" s="66">
        <v>609081</v>
      </c>
      <c r="T832" s="106">
        <f>IF(A832="Upgrade",IF(OR(H832=4,H832=5),_xlfn.XLOOKUP(I832,'Renewal Rates'!$A$22:$A$27,'Renewal Rates'!$B$22:$B$27,'Renewal Rates'!$B$27,0),'Renewal Rates'!$F$7),IF(A832="Renewal",100%,0%))</f>
        <v>0</v>
      </c>
      <c r="U832" s="68">
        <f t="shared" si="13"/>
        <v>0</v>
      </c>
    </row>
    <row r="833" spans="1:21" s="41" customFormat="1" ht="13.8" x14ac:dyDescent="0.3">
      <c r="A833" s="115" t="s">
        <v>25</v>
      </c>
      <c r="B833" s="116" t="s">
        <v>22</v>
      </c>
      <c r="C833" s="116">
        <v>4.0119999999999996</v>
      </c>
      <c r="D833" s="117"/>
      <c r="E833" s="117">
        <v>127</v>
      </c>
      <c r="F833" s="117"/>
      <c r="G833" s="117">
        <v>600</v>
      </c>
      <c r="H833" s="123"/>
      <c r="I833" s="117" t="s">
        <v>122</v>
      </c>
      <c r="J833" s="115">
        <v>386</v>
      </c>
      <c r="K833" s="115" t="s">
        <v>23</v>
      </c>
      <c r="L833" s="117" t="s">
        <v>24</v>
      </c>
      <c r="M833" s="66">
        <v>406008</v>
      </c>
      <c r="N833" s="66">
        <v>3197</v>
      </c>
      <c r="O833" s="66">
        <v>138043</v>
      </c>
      <c r="P833" s="66">
        <v>544050</v>
      </c>
      <c r="Q833" s="67">
        <v>0.4</v>
      </c>
      <c r="R833" s="66">
        <v>217620</v>
      </c>
      <c r="S833" s="66">
        <v>761670</v>
      </c>
      <c r="T833" s="106">
        <f>IF(A833="Upgrade",IF(OR(H833=4,H833=5),_xlfn.XLOOKUP(I833,'Renewal Rates'!$A$22:$A$27,'Renewal Rates'!$B$22:$B$27,'Renewal Rates'!$B$27,0),'Renewal Rates'!$F$7),IF(A833="Renewal",100%,0%))</f>
        <v>0</v>
      </c>
      <c r="U833" s="68">
        <f t="shared" si="13"/>
        <v>0</v>
      </c>
    </row>
    <row r="834" spans="1:21" s="41" customFormat="1" ht="13.8" x14ac:dyDescent="0.3">
      <c r="A834" s="115" t="s">
        <v>21</v>
      </c>
      <c r="B834" s="116">
        <v>2000113420</v>
      </c>
      <c r="C834" s="116">
        <v>4.008</v>
      </c>
      <c r="D834" s="117">
        <v>18.899999999999999</v>
      </c>
      <c r="E834" s="117"/>
      <c r="F834" s="117">
        <v>525</v>
      </c>
      <c r="G834" s="117">
        <v>975</v>
      </c>
      <c r="H834" s="123">
        <v>4</v>
      </c>
      <c r="I834" s="117">
        <v>2</v>
      </c>
      <c r="J834" s="115">
        <v>386</v>
      </c>
      <c r="K834" s="115" t="s">
        <v>23</v>
      </c>
      <c r="L834" s="117" t="s">
        <v>24</v>
      </c>
      <c r="M834" s="66">
        <v>186352</v>
      </c>
      <c r="N834" s="66">
        <v>9884</v>
      </c>
      <c r="O834" s="66">
        <v>63360</v>
      </c>
      <c r="P834" s="66">
        <v>249712</v>
      </c>
      <c r="Q834" s="67">
        <v>0.4</v>
      </c>
      <c r="R834" s="66">
        <v>99885</v>
      </c>
      <c r="S834" s="66">
        <v>349597</v>
      </c>
      <c r="T834" s="106">
        <f>IF(A834="Upgrade",IF(OR(H834=4,H834=5),_xlfn.XLOOKUP(I834,'Renewal Rates'!$A$22:$A$27,'Renewal Rates'!$B$22:$B$27,'Renewal Rates'!$B$27,0),'Renewal Rates'!$F$7),IF(A834="Renewal",100%,0%))</f>
        <v>0</v>
      </c>
      <c r="U834" s="68">
        <f t="shared" si="13"/>
        <v>0</v>
      </c>
    </row>
    <row r="835" spans="1:21" s="41" customFormat="1" ht="13.8" x14ac:dyDescent="0.3">
      <c r="A835" s="115" t="s">
        <v>21</v>
      </c>
      <c r="B835" s="116">
        <v>2000062149</v>
      </c>
      <c r="C835" s="116">
        <v>4.008</v>
      </c>
      <c r="D835" s="117">
        <v>74.400000000000006</v>
      </c>
      <c r="E835" s="117"/>
      <c r="F835" s="117">
        <v>375</v>
      </c>
      <c r="G835" s="117">
        <v>975</v>
      </c>
      <c r="H835" s="123"/>
      <c r="I835" s="117" t="s">
        <v>122</v>
      </c>
      <c r="J835" s="115">
        <v>386</v>
      </c>
      <c r="K835" s="115" t="s">
        <v>23</v>
      </c>
      <c r="L835" s="117" t="s">
        <v>24</v>
      </c>
      <c r="M835" s="66">
        <v>470625</v>
      </c>
      <c r="N835" s="66">
        <v>6325</v>
      </c>
      <c r="O835" s="66">
        <v>160013</v>
      </c>
      <c r="P835" s="66">
        <v>630638</v>
      </c>
      <c r="Q835" s="67">
        <v>0.4</v>
      </c>
      <c r="R835" s="66">
        <v>252255</v>
      </c>
      <c r="S835" s="66">
        <v>882893</v>
      </c>
      <c r="T835" s="106">
        <f>IF(A835="Upgrade",IF(OR(H835=4,H835=5),_xlfn.XLOOKUP(I835,'Renewal Rates'!$A$22:$A$27,'Renewal Rates'!$B$22:$B$27,'Renewal Rates'!$B$27,0),'Renewal Rates'!$F$7),IF(A835="Renewal",100%,0%))</f>
        <v>2.6599999999999999E-2</v>
      </c>
      <c r="U835" s="68">
        <f t="shared" si="13"/>
        <v>23484.953799999999</v>
      </c>
    </row>
    <row r="836" spans="1:21" s="41" customFormat="1" ht="13.8" x14ac:dyDescent="0.3">
      <c r="A836" s="115" t="s">
        <v>21</v>
      </c>
      <c r="B836" s="116">
        <v>2000965216</v>
      </c>
      <c r="C836" s="116">
        <v>4.008</v>
      </c>
      <c r="D836" s="117">
        <v>18.399999999999999</v>
      </c>
      <c r="E836" s="117"/>
      <c r="F836" s="117">
        <v>375</v>
      </c>
      <c r="G836" s="117">
        <v>975</v>
      </c>
      <c r="H836" s="123"/>
      <c r="I836" s="117" t="s">
        <v>122</v>
      </c>
      <c r="J836" s="115">
        <v>386</v>
      </c>
      <c r="K836" s="115" t="s">
        <v>23</v>
      </c>
      <c r="L836" s="117" t="s">
        <v>24</v>
      </c>
      <c r="M836" s="66">
        <v>146509</v>
      </c>
      <c r="N836" s="66">
        <v>7963</v>
      </c>
      <c r="O836" s="66">
        <v>49813</v>
      </c>
      <c r="P836" s="66">
        <v>196323</v>
      </c>
      <c r="Q836" s="67">
        <v>0.4</v>
      </c>
      <c r="R836" s="66">
        <v>78529</v>
      </c>
      <c r="S836" s="66">
        <v>274852</v>
      </c>
      <c r="T836" s="106">
        <f>IF(A836="Upgrade",IF(OR(H836=4,H836=5),_xlfn.XLOOKUP(I836,'Renewal Rates'!$A$22:$A$27,'Renewal Rates'!$B$22:$B$27,'Renewal Rates'!$B$27,0),'Renewal Rates'!$F$7),IF(A836="Renewal",100%,0%))</f>
        <v>2.6599999999999999E-2</v>
      </c>
      <c r="U836" s="68">
        <f t="shared" si="13"/>
        <v>7311.0631999999996</v>
      </c>
    </row>
    <row r="837" spans="1:21" s="41" customFormat="1" ht="13.8" x14ac:dyDescent="0.3">
      <c r="A837" s="115" t="s">
        <v>21</v>
      </c>
      <c r="B837" s="116">
        <v>3000102628</v>
      </c>
      <c r="C837" s="116">
        <v>4.008</v>
      </c>
      <c r="D837" s="117">
        <v>25.9</v>
      </c>
      <c r="E837" s="117"/>
      <c r="F837" s="117">
        <v>300</v>
      </c>
      <c r="G837" s="117">
        <v>975</v>
      </c>
      <c r="H837" s="123"/>
      <c r="I837" s="117" t="s">
        <v>122</v>
      </c>
      <c r="J837" s="115">
        <v>386</v>
      </c>
      <c r="K837" s="115" t="s">
        <v>23</v>
      </c>
      <c r="L837" s="117" t="s">
        <v>24</v>
      </c>
      <c r="M837" s="66">
        <v>183092</v>
      </c>
      <c r="N837" s="66">
        <v>7072</v>
      </c>
      <c r="O837" s="66">
        <v>62251</v>
      </c>
      <c r="P837" s="66">
        <v>245344</v>
      </c>
      <c r="Q837" s="67">
        <v>0.4</v>
      </c>
      <c r="R837" s="66">
        <v>98138</v>
      </c>
      <c r="S837" s="66">
        <v>343481</v>
      </c>
      <c r="T837" s="106">
        <f>IF(A837="Upgrade",IF(OR(H837=4,H837=5),_xlfn.XLOOKUP(I837,'Renewal Rates'!$A$22:$A$27,'Renewal Rates'!$B$22:$B$27,'Renewal Rates'!$B$27,0),'Renewal Rates'!$F$7),IF(A837="Renewal",100%,0%))</f>
        <v>2.6599999999999999E-2</v>
      </c>
      <c r="U837" s="68">
        <f t="shared" si="13"/>
        <v>9136.5946000000004</v>
      </c>
    </row>
    <row r="838" spans="1:21" s="41" customFormat="1" ht="13.8" x14ac:dyDescent="0.3">
      <c r="A838" s="115" t="s">
        <v>21</v>
      </c>
      <c r="B838" s="116">
        <v>2000847426</v>
      </c>
      <c r="C838" s="116">
        <v>4.008</v>
      </c>
      <c r="D838" s="117">
        <v>22.5</v>
      </c>
      <c r="E838" s="117"/>
      <c r="F838" s="117">
        <v>375</v>
      </c>
      <c r="G838" s="117">
        <v>975</v>
      </c>
      <c r="H838" s="123">
        <v>4</v>
      </c>
      <c r="I838" s="117">
        <v>4</v>
      </c>
      <c r="J838" s="115">
        <v>386</v>
      </c>
      <c r="K838" s="115" t="s">
        <v>23</v>
      </c>
      <c r="L838" s="117" t="s">
        <v>24</v>
      </c>
      <c r="M838" s="66">
        <v>176747</v>
      </c>
      <c r="N838" s="66">
        <v>7866</v>
      </c>
      <c r="O838" s="66">
        <v>60094</v>
      </c>
      <c r="P838" s="66">
        <v>236841</v>
      </c>
      <c r="Q838" s="67">
        <v>0.4</v>
      </c>
      <c r="R838" s="66">
        <v>94736</v>
      </c>
      <c r="S838" s="66">
        <v>331577</v>
      </c>
      <c r="T838" s="106">
        <f>IF(A838="Upgrade",IF(OR(H838=4,H838=5),_xlfn.XLOOKUP(I838,'Renewal Rates'!$A$22:$A$27,'Renewal Rates'!$B$22:$B$27,'Renewal Rates'!$B$27,0),'Renewal Rates'!$F$7),IF(A838="Renewal",100%,0%))</f>
        <v>0.7</v>
      </c>
      <c r="U838" s="68">
        <f t="shared" si="13"/>
        <v>232103.9</v>
      </c>
    </row>
    <row r="839" spans="1:21" s="41" customFormat="1" ht="13.8" x14ac:dyDescent="0.3">
      <c r="A839" s="115" t="s">
        <v>21</v>
      </c>
      <c r="B839" s="116">
        <v>2000014237</v>
      </c>
      <c r="C839" s="116">
        <v>4.008</v>
      </c>
      <c r="D839" s="117">
        <v>7.1</v>
      </c>
      <c r="E839" s="117"/>
      <c r="F839" s="117">
        <v>375</v>
      </c>
      <c r="G839" s="117">
        <v>975</v>
      </c>
      <c r="H839" s="123">
        <v>4</v>
      </c>
      <c r="I839" s="117">
        <v>2</v>
      </c>
      <c r="J839" s="115">
        <v>386</v>
      </c>
      <c r="K839" s="115" t="s">
        <v>23</v>
      </c>
      <c r="L839" s="117" t="s">
        <v>24</v>
      </c>
      <c r="M839" s="66">
        <v>80090</v>
      </c>
      <c r="N839" s="66">
        <v>11349</v>
      </c>
      <c r="O839" s="66">
        <v>27231</v>
      </c>
      <c r="P839" s="66">
        <v>107321</v>
      </c>
      <c r="Q839" s="67">
        <v>0.4</v>
      </c>
      <c r="R839" s="66">
        <v>42928</v>
      </c>
      <c r="S839" s="66">
        <v>150249</v>
      </c>
      <c r="T839" s="106">
        <f>IF(A839="Upgrade",IF(OR(H839=4,H839=5),_xlfn.XLOOKUP(I839,'Renewal Rates'!$A$22:$A$27,'Renewal Rates'!$B$22:$B$27,'Renewal Rates'!$B$27,0),'Renewal Rates'!$F$7),IF(A839="Renewal",100%,0%))</f>
        <v>0</v>
      </c>
      <c r="U839" s="68">
        <f t="shared" si="13"/>
        <v>0</v>
      </c>
    </row>
    <row r="840" spans="1:21" s="41" customFormat="1" ht="13.8" x14ac:dyDescent="0.3">
      <c r="A840" s="115" t="s">
        <v>21</v>
      </c>
      <c r="B840" s="116">
        <v>2000472526</v>
      </c>
      <c r="C840" s="116">
        <v>4.008</v>
      </c>
      <c r="D840" s="117">
        <v>16.8</v>
      </c>
      <c r="E840" s="117"/>
      <c r="F840" s="117">
        <v>375</v>
      </c>
      <c r="G840" s="117">
        <v>975</v>
      </c>
      <c r="H840" s="123">
        <v>5</v>
      </c>
      <c r="I840" s="117">
        <v>2</v>
      </c>
      <c r="J840" s="115">
        <v>386</v>
      </c>
      <c r="K840" s="115" t="s">
        <v>23</v>
      </c>
      <c r="L840" s="117" t="s">
        <v>24</v>
      </c>
      <c r="M840" s="66">
        <v>143498</v>
      </c>
      <c r="N840" s="66">
        <v>8553</v>
      </c>
      <c r="O840" s="66">
        <v>48789</v>
      </c>
      <c r="P840" s="66">
        <v>192287</v>
      </c>
      <c r="Q840" s="67">
        <v>0.4</v>
      </c>
      <c r="R840" s="66">
        <v>76915</v>
      </c>
      <c r="S840" s="66">
        <v>269202</v>
      </c>
      <c r="T840" s="106">
        <f>IF(A840="Upgrade",IF(OR(H840=4,H840=5),_xlfn.XLOOKUP(I840,'Renewal Rates'!$A$22:$A$27,'Renewal Rates'!$B$22:$B$27,'Renewal Rates'!$B$27,0),'Renewal Rates'!$F$7),IF(A840="Renewal",100%,0%))</f>
        <v>0</v>
      </c>
      <c r="U840" s="68">
        <f t="shared" si="13"/>
        <v>0</v>
      </c>
    </row>
    <row r="841" spans="1:21" s="41" customFormat="1" ht="13.8" x14ac:dyDescent="0.3">
      <c r="A841" s="115" t="s">
        <v>21</v>
      </c>
      <c r="B841" s="116">
        <v>2000241550</v>
      </c>
      <c r="C841" s="116">
        <v>4.008</v>
      </c>
      <c r="D841" s="117">
        <v>3.2</v>
      </c>
      <c r="E841" s="117"/>
      <c r="F841" s="117">
        <v>300</v>
      </c>
      <c r="G841" s="117">
        <v>975</v>
      </c>
      <c r="H841" s="123"/>
      <c r="I841" s="117" t="s">
        <v>122</v>
      </c>
      <c r="J841" s="115">
        <v>386</v>
      </c>
      <c r="K841" s="115" t="s">
        <v>23</v>
      </c>
      <c r="L841" s="117" t="s">
        <v>24</v>
      </c>
      <c r="M841" s="66">
        <v>73024</v>
      </c>
      <c r="N841" s="66">
        <v>22479</v>
      </c>
      <c r="O841" s="66">
        <v>24828</v>
      </c>
      <c r="P841" s="66">
        <v>97852</v>
      </c>
      <c r="Q841" s="67">
        <v>0.4</v>
      </c>
      <c r="R841" s="66">
        <v>39141</v>
      </c>
      <c r="S841" s="66">
        <v>136993</v>
      </c>
      <c r="T841" s="106">
        <f>IF(A841="Upgrade",IF(OR(H841=4,H841=5),_xlfn.XLOOKUP(I841,'Renewal Rates'!$A$22:$A$27,'Renewal Rates'!$B$22:$B$27,'Renewal Rates'!$B$27,0),'Renewal Rates'!$F$7),IF(A841="Renewal",100%,0%))</f>
        <v>2.6599999999999999E-2</v>
      </c>
      <c r="U841" s="68">
        <f t="shared" si="13"/>
        <v>3644.0137999999997</v>
      </c>
    </row>
    <row r="842" spans="1:21" s="41" customFormat="1" ht="13.8" x14ac:dyDescent="0.3">
      <c r="A842" s="115" t="s">
        <v>21</v>
      </c>
      <c r="B842" s="116">
        <v>2000791152</v>
      </c>
      <c r="C842" s="116">
        <v>4.008</v>
      </c>
      <c r="D842" s="117">
        <v>17</v>
      </c>
      <c r="E842" s="117"/>
      <c r="F842" s="117">
        <v>300</v>
      </c>
      <c r="G842" s="117">
        <v>975</v>
      </c>
      <c r="H842" s="123"/>
      <c r="I842" s="117" t="s">
        <v>122</v>
      </c>
      <c r="J842" s="115">
        <v>386</v>
      </c>
      <c r="K842" s="115" t="s">
        <v>23</v>
      </c>
      <c r="L842" s="117" t="s">
        <v>24</v>
      </c>
      <c r="M842" s="66">
        <v>143873</v>
      </c>
      <c r="N842" s="66">
        <v>8474</v>
      </c>
      <c r="O842" s="66">
        <v>48917</v>
      </c>
      <c r="P842" s="66">
        <v>192790</v>
      </c>
      <c r="Q842" s="67">
        <v>0.4</v>
      </c>
      <c r="R842" s="66">
        <v>77116</v>
      </c>
      <c r="S842" s="66">
        <v>269905</v>
      </c>
      <c r="T842" s="106">
        <f>IF(A842="Upgrade",IF(OR(H842=4,H842=5),_xlfn.XLOOKUP(I842,'Renewal Rates'!$A$22:$A$27,'Renewal Rates'!$B$22:$B$27,'Renewal Rates'!$B$27,0),'Renewal Rates'!$F$7),IF(A842="Renewal",100%,0%))</f>
        <v>2.6599999999999999E-2</v>
      </c>
      <c r="U842" s="68">
        <f t="shared" si="13"/>
        <v>7179.473</v>
      </c>
    </row>
    <row r="843" spans="1:21" s="41" customFormat="1" ht="13.8" x14ac:dyDescent="0.3">
      <c r="A843" s="115" t="s">
        <v>21</v>
      </c>
      <c r="B843" s="116">
        <v>2000504830</v>
      </c>
      <c r="C843" s="116">
        <v>4.008</v>
      </c>
      <c r="D843" s="117">
        <v>15.1</v>
      </c>
      <c r="E843" s="117"/>
      <c r="F843" s="117">
        <v>300</v>
      </c>
      <c r="G843" s="117">
        <v>975</v>
      </c>
      <c r="H843" s="123"/>
      <c r="I843" s="117" t="s">
        <v>122</v>
      </c>
      <c r="J843" s="115">
        <v>386</v>
      </c>
      <c r="K843" s="115" t="s">
        <v>23</v>
      </c>
      <c r="L843" s="117" t="s">
        <v>24</v>
      </c>
      <c r="M843" s="66">
        <v>140421</v>
      </c>
      <c r="N843" s="66">
        <v>9288</v>
      </c>
      <c r="O843" s="66">
        <v>47743</v>
      </c>
      <c r="P843" s="66">
        <v>188164</v>
      </c>
      <c r="Q843" s="67">
        <v>0.4</v>
      </c>
      <c r="R843" s="66">
        <v>75266</v>
      </c>
      <c r="S843" s="66">
        <v>263430</v>
      </c>
      <c r="T843" s="106">
        <f>IF(A843="Upgrade",IF(OR(H843=4,H843=5),_xlfn.XLOOKUP(I843,'Renewal Rates'!$A$22:$A$27,'Renewal Rates'!$B$22:$B$27,'Renewal Rates'!$B$27,0),'Renewal Rates'!$F$7),IF(A843="Renewal",100%,0%))</f>
        <v>2.6599999999999999E-2</v>
      </c>
      <c r="U843" s="68">
        <f t="shared" si="13"/>
        <v>7007.2379999999994</v>
      </c>
    </row>
    <row r="844" spans="1:21" s="41" customFormat="1" ht="13.8" x14ac:dyDescent="0.3">
      <c r="A844" s="115" t="s">
        <v>21</v>
      </c>
      <c r="B844" s="116">
        <v>2000900356</v>
      </c>
      <c r="C844" s="116">
        <v>4.008</v>
      </c>
      <c r="D844" s="117">
        <v>33.9</v>
      </c>
      <c r="E844" s="117"/>
      <c r="F844" s="117">
        <v>450</v>
      </c>
      <c r="G844" s="117">
        <v>975</v>
      </c>
      <c r="H844" s="123">
        <v>4</v>
      </c>
      <c r="I844" s="117">
        <v>3</v>
      </c>
      <c r="J844" s="115">
        <v>386</v>
      </c>
      <c r="K844" s="115" t="s">
        <v>23</v>
      </c>
      <c r="L844" s="117" t="s">
        <v>24</v>
      </c>
      <c r="M844" s="66">
        <v>220726</v>
      </c>
      <c r="N844" s="66">
        <v>6502</v>
      </c>
      <c r="O844" s="66">
        <v>75047</v>
      </c>
      <c r="P844" s="66">
        <v>295773</v>
      </c>
      <c r="Q844" s="67">
        <v>0.4</v>
      </c>
      <c r="R844" s="66">
        <v>118309</v>
      </c>
      <c r="S844" s="66">
        <v>414082</v>
      </c>
      <c r="T844" s="106">
        <f>IF(A844="Upgrade",IF(OR(H844=4,H844=5),_xlfn.XLOOKUP(I844,'Renewal Rates'!$A$22:$A$27,'Renewal Rates'!$B$22:$B$27,'Renewal Rates'!$B$27,0),'Renewal Rates'!$F$7),IF(A844="Renewal",100%,0%))</f>
        <v>0.21</v>
      </c>
      <c r="U844" s="68">
        <f t="shared" si="13"/>
        <v>86957.22</v>
      </c>
    </row>
    <row r="845" spans="1:21" s="41" customFormat="1" ht="13.8" x14ac:dyDescent="0.3">
      <c r="A845" s="115" t="s">
        <v>21</v>
      </c>
      <c r="B845" s="116">
        <v>2000757606</v>
      </c>
      <c r="C845" s="116">
        <v>4.0069999999999997</v>
      </c>
      <c r="D845" s="117">
        <v>27.9</v>
      </c>
      <c r="E845" s="117"/>
      <c r="F845" s="117">
        <v>450</v>
      </c>
      <c r="G845" s="117">
        <v>450</v>
      </c>
      <c r="H845" s="123">
        <v>5</v>
      </c>
      <c r="I845" s="117">
        <v>2</v>
      </c>
      <c r="J845" s="115">
        <v>386</v>
      </c>
      <c r="K845" s="115" t="s">
        <v>23</v>
      </c>
      <c r="L845" s="117" t="s">
        <v>24</v>
      </c>
      <c r="M845" s="66">
        <v>83737</v>
      </c>
      <c r="N845" s="66">
        <v>2998</v>
      </c>
      <c r="O845" s="66">
        <v>28471</v>
      </c>
      <c r="P845" s="66">
        <v>112207</v>
      </c>
      <c r="Q845" s="67">
        <v>0.4</v>
      </c>
      <c r="R845" s="66">
        <v>44883</v>
      </c>
      <c r="S845" s="66">
        <v>157090</v>
      </c>
      <c r="T845" s="106">
        <f>IF(A845="Upgrade",IF(OR(H845=4,H845=5),_xlfn.XLOOKUP(I845,'Renewal Rates'!$A$22:$A$27,'Renewal Rates'!$B$22:$B$27,'Renewal Rates'!$B$27,0),'Renewal Rates'!$F$7),IF(A845="Renewal",100%,0%))</f>
        <v>0</v>
      </c>
      <c r="U845" s="68">
        <f t="shared" si="13"/>
        <v>0</v>
      </c>
    </row>
    <row r="846" spans="1:21" s="41" customFormat="1" ht="13.8" x14ac:dyDescent="0.3">
      <c r="A846" s="115" t="s">
        <v>21</v>
      </c>
      <c r="B846" s="116">
        <v>2000435226</v>
      </c>
      <c r="C846" s="116">
        <v>4.0069999999999997</v>
      </c>
      <c r="D846" s="117">
        <v>11.5</v>
      </c>
      <c r="E846" s="117"/>
      <c r="F846" s="117">
        <v>450</v>
      </c>
      <c r="G846" s="117">
        <v>450</v>
      </c>
      <c r="H846" s="123"/>
      <c r="I846" s="117" t="s">
        <v>122</v>
      </c>
      <c r="J846" s="115">
        <v>386</v>
      </c>
      <c r="K846" s="115" t="s">
        <v>23</v>
      </c>
      <c r="L846" s="117" t="s">
        <v>24</v>
      </c>
      <c r="M846" s="66">
        <v>52605</v>
      </c>
      <c r="N846" s="66">
        <v>4565</v>
      </c>
      <c r="O846" s="66">
        <v>17886</v>
      </c>
      <c r="P846" s="66">
        <v>70491</v>
      </c>
      <c r="Q846" s="67">
        <v>0.4</v>
      </c>
      <c r="R846" s="66">
        <v>28196</v>
      </c>
      <c r="S846" s="66">
        <v>98687</v>
      </c>
      <c r="T846" s="106">
        <f>IF(A846="Upgrade",IF(OR(H846=4,H846=5),_xlfn.XLOOKUP(I846,'Renewal Rates'!$A$22:$A$27,'Renewal Rates'!$B$22:$B$27,'Renewal Rates'!$B$27,0),'Renewal Rates'!$F$7),IF(A846="Renewal",100%,0%))</f>
        <v>2.6599999999999999E-2</v>
      </c>
      <c r="U846" s="68">
        <f t="shared" si="13"/>
        <v>2625.0742</v>
      </c>
    </row>
    <row r="847" spans="1:21" s="41" customFormat="1" ht="13.8" x14ac:dyDescent="0.3">
      <c r="A847" s="115" t="s">
        <v>21</v>
      </c>
      <c r="B847" s="116">
        <v>2000770711</v>
      </c>
      <c r="C847" s="116">
        <v>4.0069999999999997</v>
      </c>
      <c r="D847" s="117">
        <v>36.6</v>
      </c>
      <c r="E847" s="117"/>
      <c r="F847" s="117">
        <v>375</v>
      </c>
      <c r="G847" s="117">
        <v>450</v>
      </c>
      <c r="H847" s="123"/>
      <c r="I847" s="117" t="s">
        <v>122</v>
      </c>
      <c r="J847" s="115">
        <v>386</v>
      </c>
      <c r="K847" s="115" t="s">
        <v>23</v>
      </c>
      <c r="L847" s="117" t="s">
        <v>24</v>
      </c>
      <c r="M847" s="66">
        <v>109353</v>
      </c>
      <c r="N847" s="66">
        <v>2988</v>
      </c>
      <c r="O847" s="66">
        <v>37180</v>
      </c>
      <c r="P847" s="66">
        <v>146532</v>
      </c>
      <c r="Q847" s="67">
        <v>0.4</v>
      </c>
      <c r="R847" s="66">
        <v>58613</v>
      </c>
      <c r="S847" s="66">
        <v>205145</v>
      </c>
      <c r="T847" s="106">
        <f>IF(A847="Upgrade",IF(OR(H847=4,H847=5),_xlfn.XLOOKUP(I847,'Renewal Rates'!$A$22:$A$27,'Renewal Rates'!$B$22:$B$27,'Renewal Rates'!$B$27,0),'Renewal Rates'!$F$7),IF(A847="Renewal",100%,0%))</f>
        <v>2.6599999999999999E-2</v>
      </c>
      <c r="U847" s="68">
        <f t="shared" si="13"/>
        <v>5456.857</v>
      </c>
    </row>
    <row r="848" spans="1:21" s="41" customFormat="1" ht="13.8" x14ac:dyDescent="0.3">
      <c r="A848" s="115" t="s">
        <v>21</v>
      </c>
      <c r="B848" s="116">
        <v>2000092857</v>
      </c>
      <c r="C848" s="116">
        <v>4.0069999999999997</v>
      </c>
      <c r="D848" s="117">
        <v>14.5</v>
      </c>
      <c r="E848" s="117"/>
      <c r="F848" s="117">
        <v>375</v>
      </c>
      <c r="G848" s="117">
        <v>450</v>
      </c>
      <c r="H848" s="123"/>
      <c r="I848" s="117" t="s">
        <v>122</v>
      </c>
      <c r="J848" s="115">
        <v>386</v>
      </c>
      <c r="K848" s="115" t="s">
        <v>23</v>
      </c>
      <c r="L848" s="117" t="s">
        <v>24</v>
      </c>
      <c r="M848" s="66">
        <v>74130</v>
      </c>
      <c r="N848" s="66">
        <v>5129</v>
      </c>
      <c r="O848" s="66">
        <v>25204</v>
      </c>
      <c r="P848" s="66">
        <v>99335</v>
      </c>
      <c r="Q848" s="67">
        <v>0.4</v>
      </c>
      <c r="R848" s="66">
        <v>39734</v>
      </c>
      <c r="S848" s="66">
        <v>139069</v>
      </c>
      <c r="T848" s="106">
        <f>IF(A848="Upgrade",IF(OR(H848=4,H848=5),_xlfn.XLOOKUP(I848,'Renewal Rates'!$A$22:$A$27,'Renewal Rates'!$B$22:$B$27,'Renewal Rates'!$B$27,0),'Renewal Rates'!$F$7),IF(A848="Renewal",100%,0%))</f>
        <v>2.6599999999999999E-2</v>
      </c>
      <c r="U848" s="68">
        <f t="shared" si="13"/>
        <v>3699.2354</v>
      </c>
    </row>
    <row r="849" spans="1:21" s="41" customFormat="1" ht="13.8" x14ac:dyDescent="0.3">
      <c r="A849" s="115" t="s">
        <v>21</v>
      </c>
      <c r="B849" s="116">
        <v>2000636435</v>
      </c>
      <c r="C849" s="116">
        <v>4.0069999999999997</v>
      </c>
      <c r="D849" s="117">
        <v>42.4</v>
      </c>
      <c r="E849" s="117"/>
      <c r="F849" s="117">
        <v>300</v>
      </c>
      <c r="G849" s="117">
        <v>450</v>
      </c>
      <c r="H849" s="123"/>
      <c r="I849" s="117" t="s">
        <v>122</v>
      </c>
      <c r="J849" s="115">
        <v>386</v>
      </c>
      <c r="K849" s="115" t="s">
        <v>23</v>
      </c>
      <c r="L849" s="117" t="s">
        <v>24</v>
      </c>
      <c r="M849" s="66">
        <v>113458</v>
      </c>
      <c r="N849" s="66">
        <v>2678</v>
      </c>
      <c r="O849" s="66">
        <v>38576</v>
      </c>
      <c r="P849" s="66">
        <v>152034</v>
      </c>
      <c r="Q849" s="67">
        <v>0.4</v>
      </c>
      <c r="R849" s="66">
        <v>60813</v>
      </c>
      <c r="S849" s="66">
        <v>212847</v>
      </c>
      <c r="T849" s="106">
        <f>IF(A849="Upgrade",IF(OR(H849=4,H849=5),_xlfn.XLOOKUP(I849,'Renewal Rates'!$A$22:$A$27,'Renewal Rates'!$B$22:$B$27,'Renewal Rates'!$B$27,0),'Renewal Rates'!$F$7),IF(A849="Renewal",100%,0%))</f>
        <v>2.6599999999999999E-2</v>
      </c>
      <c r="U849" s="68">
        <f t="shared" si="13"/>
        <v>5661.7302</v>
      </c>
    </row>
    <row r="850" spans="1:21" s="41" customFormat="1" ht="13.8" x14ac:dyDescent="0.3">
      <c r="A850" s="115" t="s">
        <v>25</v>
      </c>
      <c r="B850" s="116" t="s">
        <v>22</v>
      </c>
      <c r="C850" s="116">
        <v>4.0019999999999998</v>
      </c>
      <c r="D850" s="117"/>
      <c r="E850" s="117">
        <v>331.3</v>
      </c>
      <c r="F850" s="117"/>
      <c r="G850" s="117">
        <v>825</v>
      </c>
      <c r="H850" s="123"/>
      <c r="I850" s="117" t="s">
        <v>122</v>
      </c>
      <c r="J850" s="115">
        <v>386</v>
      </c>
      <c r="K850" s="115" t="s">
        <v>23</v>
      </c>
      <c r="L850" s="117" t="s">
        <v>24</v>
      </c>
      <c r="M850" s="66">
        <v>1436783</v>
      </c>
      <c r="N850" s="66">
        <v>4337</v>
      </c>
      <c r="O850" s="66">
        <v>488506</v>
      </c>
      <c r="P850" s="66">
        <v>1925289</v>
      </c>
      <c r="Q850" s="67">
        <v>0.4</v>
      </c>
      <c r="R850" s="66">
        <v>770116</v>
      </c>
      <c r="S850" s="66">
        <v>2695405</v>
      </c>
      <c r="T850" s="106">
        <f>IF(A850="Upgrade",IF(OR(H850=4,H850=5),_xlfn.XLOOKUP(I850,'Renewal Rates'!$A$22:$A$27,'Renewal Rates'!$B$22:$B$27,'Renewal Rates'!$B$27,0),'Renewal Rates'!$F$7),IF(A850="Renewal",100%,0%))</f>
        <v>0</v>
      </c>
      <c r="U850" s="68">
        <f t="shared" si="13"/>
        <v>0</v>
      </c>
    </row>
    <row r="851" spans="1:21" s="41" customFormat="1" ht="13.8" x14ac:dyDescent="0.3">
      <c r="A851" s="115" t="s">
        <v>21</v>
      </c>
      <c r="B851" s="116">
        <v>2000246659</v>
      </c>
      <c r="C851" s="116">
        <v>4.0140000000000002</v>
      </c>
      <c r="D851" s="117">
        <v>24.5</v>
      </c>
      <c r="E851" s="117"/>
      <c r="F851" s="117">
        <v>1200</v>
      </c>
      <c r="G851" s="117">
        <v>1275</v>
      </c>
      <c r="H851" s="123"/>
      <c r="I851" s="117" t="s">
        <v>122</v>
      </c>
      <c r="J851" s="115">
        <v>386</v>
      </c>
      <c r="K851" s="115" t="s">
        <v>23</v>
      </c>
      <c r="L851" s="117" t="s">
        <v>24</v>
      </c>
      <c r="M851" s="66">
        <v>178912</v>
      </c>
      <c r="N851" s="66">
        <v>7298</v>
      </c>
      <c r="O851" s="66">
        <v>60830</v>
      </c>
      <c r="P851" s="66">
        <v>239742</v>
      </c>
      <c r="Q851" s="67">
        <v>0.4</v>
      </c>
      <c r="R851" s="66">
        <v>95897</v>
      </c>
      <c r="S851" s="66">
        <v>335639</v>
      </c>
      <c r="T851" s="106">
        <f>IF(A851="Upgrade",IF(OR(H851=4,H851=5),_xlfn.XLOOKUP(I851,'Renewal Rates'!$A$22:$A$27,'Renewal Rates'!$B$22:$B$27,'Renewal Rates'!$B$27,0),'Renewal Rates'!$F$7),IF(A851="Renewal",100%,0%))</f>
        <v>2.6599999999999999E-2</v>
      </c>
      <c r="U851" s="68">
        <f t="shared" si="13"/>
        <v>8927.9974000000002</v>
      </c>
    </row>
    <row r="852" spans="1:21" s="41" customFormat="1" ht="13.8" x14ac:dyDescent="0.3">
      <c r="A852" s="115" t="s">
        <v>21</v>
      </c>
      <c r="B852" s="116">
        <v>2000028767</v>
      </c>
      <c r="C852" s="116">
        <v>4.0140000000000002</v>
      </c>
      <c r="D852" s="117">
        <v>26.3</v>
      </c>
      <c r="E852" s="117"/>
      <c r="F852" s="117">
        <v>1200</v>
      </c>
      <c r="G852" s="117">
        <v>1275</v>
      </c>
      <c r="H852" s="123"/>
      <c r="I852" s="117" t="s">
        <v>122</v>
      </c>
      <c r="J852" s="115">
        <v>386</v>
      </c>
      <c r="K852" s="115" t="s">
        <v>23</v>
      </c>
      <c r="L852" s="117" t="s">
        <v>24</v>
      </c>
      <c r="M852" s="66">
        <v>183334</v>
      </c>
      <c r="N852" s="66">
        <v>6981</v>
      </c>
      <c r="O852" s="66">
        <v>62334</v>
      </c>
      <c r="P852" s="66">
        <v>245668</v>
      </c>
      <c r="Q852" s="67">
        <v>0.4</v>
      </c>
      <c r="R852" s="66">
        <v>98267</v>
      </c>
      <c r="S852" s="66">
        <v>343935</v>
      </c>
      <c r="T852" s="106">
        <f>IF(A852="Upgrade",IF(OR(H852=4,H852=5),_xlfn.XLOOKUP(I852,'Renewal Rates'!$A$22:$A$27,'Renewal Rates'!$B$22:$B$27,'Renewal Rates'!$B$27,0),'Renewal Rates'!$F$7),IF(A852="Renewal",100%,0%))</f>
        <v>2.6599999999999999E-2</v>
      </c>
      <c r="U852" s="68">
        <f t="shared" si="13"/>
        <v>9148.6710000000003</v>
      </c>
    </row>
    <row r="853" spans="1:21" s="41" customFormat="1" ht="13.8" x14ac:dyDescent="0.3">
      <c r="A853" s="115" t="s">
        <v>21</v>
      </c>
      <c r="B853" s="116">
        <v>2000849516</v>
      </c>
      <c r="C853" s="116">
        <v>4.0140000000000002</v>
      </c>
      <c r="D853" s="117">
        <v>23.9</v>
      </c>
      <c r="E853" s="117"/>
      <c r="F853" s="117">
        <v>1200</v>
      </c>
      <c r="G853" s="117">
        <v>1275</v>
      </c>
      <c r="H853" s="123"/>
      <c r="I853" s="117" t="s">
        <v>122</v>
      </c>
      <c r="J853" s="115">
        <v>386</v>
      </c>
      <c r="K853" s="115" t="s">
        <v>23</v>
      </c>
      <c r="L853" s="117" t="s">
        <v>24</v>
      </c>
      <c r="M853" s="66">
        <v>177453</v>
      </c>
      <c r="N853" s="66">
        <v>7413</v>
      </c>
      <c r="O853" s="66">
        <v>60334</v>
      </c>
      <c r="P853" s="66">
        <v>237787</v>
      </c>
      <c r="Q853" s="67">
        <v>0.4</v>
      </c>
      <c r="R853" s="66">
        <v>95115</v>
      </c>
      <c r="S853" s="66">
        <v>332902</v>
      </c>
      <c r="T853" s="106">
        <f>IF(A853="Upgrade",IF(OR(H853=4,H853=5),_xlfn.XLOOKUP(I853,'Renewal Rates'!$A$22:$A$27,'Renewal Rates'!$B$22:$B$27,'Renewal Rates'!$B$27,0),'Renewal Rates'!$F$7),IF(A853="Renewal",100%,0%))</f>
        <v>2.6599999999999999E-2</v>
      </c>
      <c r="U853" s="68">
        <f t="shared" si="13"/>
        <v>8855.1931999999997</v>
      </c>
    </row>
    <row r="854" spans="1:21" s="41" customFormat="1" ht="13.8" x14ac:dyDescent="0.3">
      <c r="A854" s="115" t="s">
        <v>21</v>
      </c>
      <c r="B854" s="116">
        <v>2000046263</v>
      </c>
      <c r="C854" s="116">
        <v>4.0140000000000002</v>
      </c>
      <c r="D854" s="117">
        <v>6.9</v>
      </c>
      <c r="E854" s="117"/>
      <c r="F854" s="117">
        <v>1200</v>
      </c>
      <c r="G854" s="117">
        <v>1275</v>
      </c>
      <c r="H854" s="123"/>
      <c r="I854" s="117" t="s">
        <v>122</v>
      </c>
      <c r="J854" s="115">
        <v>386</v>
      </c>
      <c r="K854" s="115" t="s">
        <v>23</v>
      </c>
      <c r="L854" s="117" t="s">
        <v>24</v>
      </c>
      <c r="M854" s="66">
        <v>66217</v>
      </c>
      <c r="N854" s="66">
        <v>9630</v>
      </c>
      <c r="O854" s="66">
        <v>22514</v>
      </c>
      <c r="P854" s="66">
        <v>88731</v>
      </c>
      <c r="Q854" s="67">
        <v>0.4</v>
      </c>
      <c r="R854" s="66">
        <v>35493</v>
      </c>
      <c r="S854" s="66">
        <v>124224</v>
      </c>
      <c r="T854" s="106">
        <f>IF(A854="Upgrade",IF(OR(H854=4,H854=5),_xlfn.XLOOKUP(I854,'Renewal Rates'!$A$22:$A$27,'Renewal Rates'!$B$22:$B$27,'Renewal Rates'!$B$27,0),'Renewal Rates'!$F$7),IF(A854="Renewal",100%,0%))</f>
        <v>2.6599999999999999E-2</v>
      </c>
      <c r="U854" s="68">
        <f t="shared" si="13"/>
        <v>3304.3583999999996</v>
      </c>
    </row>
    <row r="855" spans="1:21" s="41" customFormat="1" ht="13.8" x14ac:dyDescent="0.3">
      <c r="A855" s="115" t="s">
        <v>21</v>
      </c>
      <c r="B855" s="116">
        <v>2000965924</v>
      </c>
      <c r="C855" s="116">
        <v>4.0060000000000002</v>
      </c>
      <c r="D855" s="117">
        <v>6.1</v>
      </c>
      <c r="E855" s="117"/>
      <c r="F855" s="117">
        <v>600</v>
      </c>
      <c r="G855" s="117">
        <v>675</v>
      </c>
      <c r="H855" s="123">
        <v>4</v>
      </c>
      <c r="I855" s="117">
        <v>1</v>
      </c>
      <c r="J855" s="115">
        <v>386</v>
      </c>
      <c r="K855" s="115" t="s">
        <v>23</v>
      </c>
      <c r="L855" s="117" t="s">
        <v>24</v>
      </c>
      <c r="M855" s="66">
        <v>57292</v>
      </c>
      <c r="N855" s="66">
        <v>9417</v>
      </c>
      <c r="O855" s="66">
        <v>19479</v>
      </c>
      <c r="P855" s="66">
        <v>76772</v>
      </c>
      <c r="Q855" s="67">
        <v>0.4</v>
      </c>
      <c r="R855" s="66">
        <v>30709</v>
      </c>
      <c r="S855" s="66">
        <v>107480</v>
      </c>
      <c r="T855" s="106">
        <f>IF(A855="Upgrade",IF(OR(H855=4,H855=5),_xlfn.XLOOKUP(I855,'Renewal Rates'!$A$22:$A$27,'Renewal Rates'!$B$22:$B$27,'Renewal Rates'!$B$27,0),'Renewal Rates'!$F$7),IF(A855="Renewal",100%,0%))</f>
        <v>0</v>
      </c>
      <c r="U855" s="68">
        <f t="shared" si="13"/>
        <v>0</v>
      </c>
    </row>
    <row r="856" spans="1:21" s="41" customFormat="1" ht="13.8" x14ac:dyDescent="0.3">
      <c r="A856" s="115" t="s">
        <v>21</v>
      </c>
      <c r="B856" s="116">
        <v>2000834679</v>
      </c>
      <c r="C856" s="116">
        <v>4.0060000000000002</v>
      </c>
      <c r="D856" s="117">
        <v>12.1</v>
      </c>
      <c r="E856" s="117"/>
      <c r="F856" s="117">
        <v>600</v>
      </c>
      <c r="G856" s="117">
        <v>675</v>
      </c>
      <c r="H856" s="123"/>
      <c r="I856" s="117" t="s">
        <v>122</v>
      </c>
      <c r="J856" s="115">
        <v>386</v>
      </c>
      <c r="K856" s="115" t="s">
        <v>23</v>
      </c>
      <c r="L856" s="117" t="s">
        <v>24</v>
      </c>
      <c r="M856" s="66">
        <v>83945</v>
      </c>
      <c r="N856" s="66">
        <v>6929</v>
      </c>
      <c r="O856" s="66">
        <v>28541</v>
      </c>
      <c r="P856" s="66">
        <v>112487</v>
      </c>
      <c r="Q856" s="67">
        <v>0.4</v>
      </c>
      <c r="R856" s="66">
        <v>44995</v>
      </c>
      <c r="S856" s="66">
        <v>157481</v>
      </c>
      <c r="T856" s="106">
        <f>IF(A856="Upgrade",IF(OR(H856=4,H856=5),_xlfn.XLOOKUP(I856,'Renewal Rates'!$A$22:$A$27,'Renewal Rates'!$B$22:$B$27,'Renewal Rates'!$B$27,0),'Renewal Rates'!$F$7),IF(A856="Renewal",100%,0%))</f>
        <v>2.6599999999999999E-2</v>
      </c>
      <c r="U856" s="68">
        <f t="shared" si="13"/>
        <v>4188.9946</v>
      </c>
    </row>
    <row r="857" spans="1:21" s="41" customFormat="1" ht="13.8" x14ac:dyDescent="0.3">
      <c r="A857" s="115" t="s">
        <v>21</v>
      </c>
      <c r="B857" s="116">
        <v>2000732051</v>
      </c>
      <c r="C857" s="116">
        <v>4.0060000000000002</v>
      </c>
      <c r="D857" s="117">
        <v>6.1</v>
      </c>
      <c r="E857" s="117"/>
      <c r="F857" s="117">
        <v>600</v>
      </c>
      <c r="G857" s="117">
        <v>675</v>
      </c>
      <c r="H857" s="123"/>
      <c r="I857" s="117" t="s">
        <v>122</v>
      </c>
      <c r="J857" s="115">
        <v>386</v>
      </c>
      <c r="K857" s="115" t="s">
        <v>23</v>
      </c>
      <c r="L857" s="117" t="s">
        <v>24</v>
      </c>
      <c r="M857" s="66">
        <v>57260</v>
      </c>
      <c r="N857" s="66">
        <v>9453</v>
      </c>
      <c r="O857" s="66">
        <v>19469</v>
      </c>
      <c r="P857" s="66">
        <v>76729</v>
      </c>
      <c r="Q857" s="67">
        <v>0.4</v>
      </c>
      <c r="R857" s="66">
        <v>30692</v>
      </c>
      <c r="S857" s="66">
        <v>107421</v>
      </c>
      <c r="T857" s="106">
        <f>IF(A857="Upgrade",IF(OR(H857=4,H857=5),_xlfn.XLOOKUP(I857,'Renewal Rates'!$A$22:$A$27,'Renewal Rates'!$B$22:$B$27,'Renewal Rates'!$B$27,0),'Renewal Rates'!$F$7),IF(A857="Renewal",100%,0%))</f>
        <v>2.6599999999999999E-2</v>
      </c>
      <c r="U857" s="68">
        <f t="shared" si="13"/>
        <v>2857.3986</v>
      </c>
    </row>
    <row r="858" spans="1:21" s="41" customFormat="1" ht="13.8" x14ac:dyDescent="0.3">
      <c r="A858" s="115" t="s">
        <v>21</v>
      </c>
      <c r="B858" s="116">
        <v>2000663711</v>
      </c>
      <c r="C858" s="116">
        <v>4.0060000000000002</v>
      </c>
      <c r="D858" s="117">
        <v>31.5</v>
      </c>
      <c r="E858" s="117"/>
      <c r="F858" s="117">
        <v>600</v>
      </c>
      <c r="G858" s="117">
        <v>675</v>
      </c>
      <c r="H858" s="123"/>
      <c r="I858" s="117" t="s">
        <v>122</v>
      </c>
      <c r="J858" s="115">
        <v>386</v>
      </c>
      <c r="K858" s="115" t="s">
        <v>23</v>
      </c>
      <c r="L858" s="117" t="s">
        <v>24</v>
      </c>
      <c r="M858" s="66">
        <v>146028</v>
      </c>
      <c r="N858" s="66">
        <v>4634</v>
      </c>
      <c r="O858" s="66">
        <v>49650</v>
      </c>
      <c r="P858" s="66">
        <v>195678</v>
      </c>
      <c r="Q858" s="67">
        <v>0.4</v>
      </c>
      <c r="R858" s="66">
        <v>78271</v>
      </c>
      <c r="S858" s="66">
        <v>273949</v>
      </c>
      <c r="T858" s="106">
        <f>IF(A858="Upgrade",IF(OR(H858=4,H858=5),_xlfn.XLOOKUP(I858,'Renewal Rates'!$A$22:$A$27,'Renewal Rates'!$B$22:$B$27,'Renewal Rates'!$B$27,0),'Renewal Rates'!$F$7),IF(A858="Renewal",100%,0%))</f>
        <v>2.6599999999999999E-2</v>
      </c>
      <c r="U858" s="68">
        <f t="shared" si="13"/>
        <v>7287.0433999999996</v>
      </c>
    </row>
    <row r="859" spans="1:21" s="41" customFormat="1" ht="13.8" x14ac:dyDescent="0.3">
      <c r="A859" s="115" t="s">
        <v>21</v>
      </c>
      <c r="B859" s="116">
        <v>2000336007</v>
      </c>
      <c r="C859" s="116">
        <v>4.0060000000000002</v>
      </c>
      <c r="D859" s="117">
        <v>3.2</v>
      </c>
      <c r="E859" s="117"/>
      <c r="F859" s="117">
        <v>600</v>
      </c>
      <c r="G859" s="117">
        <v>675</v>
      </c>
      <c r="H859" s="123"/>
      <c r="I859" s="117" t="s">
        <v>122</v>
      </c>
      <c r="J859" s="115">
        <v>386</v>
      </c>
      <c r="K859" s="115" t="s">
        <v>23</v>
      </c>
      <c r="L859" s="117" t="s">
        <v>24</v>
      </c>
      <c r="M859" s="66">
        <v>53850</v>
      </c>
      <c r="N859" s="66">
        <v>16793</v>
      </c>
      <c r="O859" s="66">
        <v>18309</v>
      </c>
      <c r="P859" s="66">
        <v>72159</v>
      </c>
      <c r="Q859" s="67">
        <v>0.4</v>
      </c>
      <c r="R859" s="66">
        <v>28863</v>
      </c>
      <c r="S859" s="66">
        <v>101022</v>
      </c>
      <c r="T859" s="106">
        <f>IF(A859="Upgrade",IF(OR(H859=4,H859=5),_xlfn.XLOOKUP(I859,'Renewal Rates'!$A$22:$A$27,'Renewal Rates'!$B$22:$B$27,'Renewal Rates'!$B$27,0),'Renewal Rates'!$F$7),IF(A859="Renewal",100%,0%))</f>
        <v>2.6599999999999999E-2</v>
      </c>
      <c r="U859" s="68">
        <f t="shared" si="13"/>
        <v>2687.1851999999999</v>
      </c>
    </row>
    <row r="860" spans="1:21" s="41" customFormat="1" ht="13.8" x14ac:dyDescent="0.3">
      <c r="A860" s="115" t="s">
        <v>21</v>
      </c>
      <c r="B860" s="116">
        <v>3000186007</v>
      </c>
      <c r="C860" s="116">
        <v>4.0060000000000002</v>
      </c>
      <c r="D860" s="117">
        <v>29.6</v>
      </c>
      <c r="E860" s="117"/>
      <c r="F860" s="117">
        <v>600</v>
      </c>
      <c r="G860" s="117">
        <v>675</v>
      </c>
      <c r="H860" s="123"/>
      <c r="I860" s="117" t="s">
        <v>122</v>
      </c>
      <c r="J860" s="115">
        <v>386</v>
      </c>
      <c r="K860" s="115" t="s">
        <v>23</v>
      </c>
      <c r="L860" s="117" t="s">
        <v>24</v>
      </c>
      <c r="M860" s="66">
        <v>124294</v>
      </c>
      <c r="N860" s="66">
        <v>4200</v>
      </c>
      <c r="O860" s="66">
        <v>42260</v>
      </c>
      <c r="P860" s="66">
        <v>166553</v>
      </c>
      <c r="Q860" s="67">
        <v>0.4</v>
      </c>
      <c r="R860" s="66">
        <v>66621</v>
      </c>
      <c r="S860" s="66">
        <v>233175</v>
      </c>
      <c r="T860" s="106">
        <f>IF(A860="Upgrade",IF(OR(H860=4,H860=5),_xlfn.XLOOKUP(I860,'Renewal Rates'!$A$22:$A$27,'Renewal Rates'!$B$22:$B$27,'Renewal Rates'!$B$27,0),'Renewal Rates'!$F$7),IF(A860="Renewal",100%,0%))</f>
        <v>2.6599999999999999E-2</v>
      </c>
      <c r="U860" s="68">
        <f t="shared" si="13"/>
        <v>6202.4549999999999</v>
      </c>
    </row>
    <row r="861" spans="1:21" s="41" customFormat="1" ht="13.8" x14ac:dyDescent="0.3">
      <c r="A861" s="115" t="s">
        <v>21</v>
      </c>
      <c r="B861" s="116">
        <v>2000855011</v>
      </c>
      <c r="C861" s="116">
        <v>4.0060000000000002</v>
      </c>
      <c r="D861" s="117">
        <v>21.5</v>
      </c>
      <c r="E861" s="117"/>
      <c r="F861" s="117">
        <v>600</v>
      </c>
      <c r="G861" s="117">
        <v>675</v>
      </c>
      <c r="H861" s="123"/>
      <c r="I861" s="117" t="s">
        <v>122</v>
      </c>
      <c r="J861" s="115">
        <v>386</v>
      </c>
      <c r="K861" s="115" t="s">
        <v>23</v>
      </c>
      <c r="L861" s="117" t="s">
        <v>24</v>
      </c>
      <c r="M861" s="66">
        <v>114569</v>
      </c>
      <c r="N861" s="66">
        <v>5338</v>
      </c>
      <c r="O861" s="66">
        <v>38953</v>
      </c>
      <c r="P861" s="66">
        <v>153522</v>
      </c>
      <c r="Q861" s="67">
        <v>0.4</v>
      </c>
      <c r="R861" s="66">
        <v>61409</v>
      </c>
      <c r="S861" s="66">
        <v>214931</v>
      </c>
      <c r="T861" s="106">
        <f>IF(A861="Upgrade",IF(OR(H861=4,H861=5),_xlfn.XLOOKUP(I861,'Renewal Rates'!$A$22:$A$27,'Renewal Rates'!$B$22:$B$27,'Renewal Rates'!$B$27,0),'Renewal Rates'!$F$7),IF(A861="Renewal",100%,0%))</f>
        <v>2.6599999999999999E-2</v>
      </c>
      <c r="U861" s="68">
        <f t="shared" si="13"/>
        <v>5717.1646000000001</v>
      </c>
    </row>
    <row r="862" spans="1:21" s="41" customFormat="1" ht="13.8" x14ac:dyDescent="0.3">
      <c r="A862" s="115" t="s">
        <v>21</v>
      </c>
      <c r="B862" s="116">
        <v>2000319540</v>
      </c>
      <c r="C862" s="116">
        <v>4.0060000000000002</v>
      </c>
      <c r="D862" s="117">
        <v>8.3000000000000007</v>
      </c>
      <c r="E862" s="117"/>
      <c r="F862" s="117">
        <v>225</v>
      </c>
      <c r="G862" s="117">
        <v>675</v>
      </c>
      <c r="H862" s="123"/>
      <c r="I862" s="117" t="s">
        <v>122</v>
      </c>
      <c r="J862" s="115">
        <v>386</v>
      </c>
      <c r="K862" s="115" t="s">
        <v>23</v>
      </c>
      <c r="L862" s="117" t="s">
        <v>24</v>
      </c>
      <c r="M862" s="66">
        <v>59977</v>
      </c>
      <c r="N862" s="66">
        <v>7202</v>
      </c>
      <c r="O862" s="66">
        <v>20392</v>
      </c>
      <c r="P862" s="66">
        <v>80370</v>
      </c>
      <c r="Q862" s="67">
        <v>0.4</v>
      </c>
      <c r="R862" s="66">
        <v>32148</v>
      </c>
      <c r="S862" s="66">
        <v>112518</v>
      </c>
      <c r="T862" s="106">
        <f>IF(A862="Upgrade",IF(OR(H862=4,H862=5),_xlfn.XLOOKUP(I862,'Renewal Rates'!$A$22:$A$27,'Renewal Rates'!$B$22:$B$27,'Renewal Rates'!$B$27,0),'Renewal Rates'!$F$7),IF(A862="Renewal",100%,0%))</f>
        <v>2.6599999999999999E-2</v>
      </c>
      <c r="U862" s="68">
        <f t="shared" si="13"/>
        <v>2992.9787999999999</v>
      </c>
    </row>
    <row r="863" spans="1:21" s="41" customFormat="1" ht="13.8" x14ac:dyDescent="0.3">
      <c r="A863" s="115" t="s">
        <v>21</v>
      </c>
      <c r="B863" s="116">
        <v>2000751335</v>
      </c>
      <c r="C863" s="116">
        <v>4.0049999999999999</v>
      </c>
      <c r="D863" s="117">
        <v>3.9</v>
      </c>
      <c r="E863" s="117"/>
      <c r="F863" s="117">
        <v>675</v>
      </c>
      <c r="G863" s="117">
        <v>975</v>
      </c>
      <c r="H863" s="123">
        <v>4</v>
      </c>
      <c r="I863" s="117">
        <v>1</v>
      </c>
      <c r="J863" s="115">
        <v>386</v>
      </c>
      <c r="K863" s="115" t="s">
        <v>23</v>
      </c>
      <c r="L863" s="117" t="s">
        <v>24</v>
      </c>
      <c r="M863" s="66">
        <v>74157</v>
      </c>
      <c r="N863" s="66">
        <v>19216</v>
      </c>
      <c r="O863" s="66">
        <v>25213</v>
      </c>
      <c r="P863" s="66">
        <v>99370</v>
      </c>
      <c r="Q863" s="67">
        <v>0.4</v>
      </c>
      <c r="R863" s="66">
        <v>39748</v>
      </c>
      <c r="S863" s="66">
        <v>139118</v>
      </c>
      <c r="T863" s="106">
        <f>IF(A863="Upgrade",IF(OR(H863=4,H863=5),_xlfn.XLOOKUP(I863,'Renewal Rates'!$A$22:$A$27,'Renewal Rates'!$B$22:$B$27,'Renewal Rates'!$B$27,0),'Renewal Rates'!$F$7),IF(A863="Renewal",100%,0%))</f>
        <v>0</v>
      </c>
      <c r="U863" s="68">
        <f t="shared" si="13"/>
        <v>0</v>
      </c>
    </row>
    <row r="864" spans="1:21" s="41" customFormat="1" ht="13.8" x14ac:dyDescent="0.3">
      <c r="A864" s="115" t="s">
        <v>21</v>
      </c>
      <c r="B864" s="116">
        <v>3000153260</v>
      </c>
      <c r="C864" s="116">
        <v>4.0049999999999999</v>
      </c>
      <c r="D864" s="117">
        <v>3.3</v>
      </c>
      <c r="E864" s="117"/>
      <c r="F864" s="117">
        <v>675</v>
      </c>
      <c r="G864" s="117">
        <v>975</v>
      </c>
      <c r="H864" s="123">
        <v>4</v>
      </c>
      <c r="I864" s="117"/>
      <c r="J864" s="115">
        <v>386</v>
      </c>
      <c r="K864" s="115" t="s">
        <v>23</v>
      </c>
      <c r="L864" s="117" t="s">
        <v>24</v>
      </c>
      <c r="M864" s="66">
        <v>73176</v>
      </c>
      <c r="N864" s="66">
        <v>21971</v>
      </c>
      <c r="O864" s="66">
        <v>24880</v>
      </c>
      <c r="P864" s="66">
        <v>98056</v>
      </c>
      <c r="Q864" s="67">
        <v>0.4</v>
      </c>
      <c r="R864" s="66">
        <v>39222</v>
      </c>
      <c r="S864" s="66">
        <v>137278</v>
      </c>
      <c r="T864" s="106">
        <f>IF(A864="Upgrade",IF(OR(H864=4,H864=5),_xlfn.XLOOKUP(I864,'Renewal Rates'!$A$22:$A$27,'Renewal Rates'!$B$22:$B$27,'Renewal Rates'!$B$27,0),'Renewal Rates'!$F$7),IF(A864="Renewal",100%,0%))</f>
        <v>0.116578</v>
      </c>
      <c r="U864" s="68">
        <f t="shared" si="13"/>
        <v>16003.594684</v>
      </c>
    </row>
    <row r="865" spans="1:21" s="41" customFormat="1" ht="13.8" x14ac:dyDescent="0.3">
      <c r="A865" s="115" t="s">
        <v>21</v>
      </c>
      <c r="B865" s="116">
        <v>2000424236</v>
      </c>
      <c r="C865" s="116">
        <v>4.0049999999999999</v>
      </c>
      <c r="D865" s="117">
        <v>74.599999999999994</v>
      </c>
      <c r="E865" s="117"/>
      <c r="F865" s="117">
        <v>675</v>
      </c>
      <c r="G865" s="117">
        <v>975</v>
      </c>
      <c r="H865" s="123">
        <v>4</v>
      </c>
      <c r="I865" s="117">
        <v>1</v>
      </c>
      <c r="J865" s="115">
        <v>386</v>
      </c>
      <c r="K865" s="115" t="s">
        <v>23</v>
      </c>
      <c r="L865" s="117" t="s">
        <v>24</v>
      </c>
      <c r="M865" s="66">
        <v>470950</v>
      </c>
      <c r="N865" s="66">
        <v>6314</v>
      </c>
      <c r="O865" s="66">
        <v>160123</v>
      </c>
      <c r="P865" s="66">
        <v>631073</v>
      </c>
      <c r="Q865" s="67">
        <v>0.4</v>
      </c>
      <c r="R865" s="66">
        <v>252429</v>
      </c>
      <c r="S865" s="66">
        <v>883503</v>
      </c>
      <c r="T865" s="106">
        <f>IF(A865="Upgrade",IF(OR(H865=4,H865=5),_xlfn.XLOOKUP(I865,'Renewal Rates'!$A$22:$A$27,'Renewal Rates'!$B$22:$B$27,'Renewal Rates'!$B$27,0),'Renewal Rates'!$F$7),IF(A865="Renewal",100%,0%))</f>
        <v>0</v>
      </c>
      <c r="U865" s="68">
        <f t="shared" si="13"/>
        <v>0</v>
      </c>
    </row>
    <row r="866" spans="1:21" s="41" customFormat="1" ht="13.8" x14ac:dyDescent="0.3">
      <c r="A866" s="115" t="s">
        <v>21</v>
      </c>
      <c r="B866" s="116">
        <v>2000927727</v>
      </c>
      <c r="C866" s="116">
        <v>4.0049999999999999</v>
      </c>
      <c r="D866" s="117">
        <v>11.6</v>
      </c>
      <c r="E866" s="117"/>
      <c r="F866" s="117">
        <v>675</v>
      </c>
      <c r="G866" s="117">
        <v>975</v>
      </c>
      <c r="H866" s="123">
        <v>4</v>
      </c>
      <c r="I866" s="117">
        <v>1</v>
      </c>
      <c r="J866" s="115">
        <v>386</v>
      </c>
      <c r="K866" s="115" t="s">
        <v>23</v>
      </c>
      <c r="L866" s="117" t="s">
        <v>24</v>
      </c>
      <c r="M866" s="66">
        <v>111249</v>
      </c>
      <c r="N866" s="66">
        <v>9571</v>
      </c>
      <c r="O866" s="66">
        <v>37825</v>
      </c>
      <c r="P866" s="66">
        <v>149074</v>
      </c>
      <c r="Q866" s="67">
        <v>0.4</v>
      </c>
      <c r="R866" s="66">
        <v>59630</v>
      </c>
      <c r="S866" s="66">
        <v>208704</v>
      </c>
      <c r="T866" s="106">
        <f>IF(A866="Upgrade",IF(OR(H866=4,H866=5),_xlfn.XLOOKUP(I866,'Renewal Rates'!$A$22:$A$27,'Renewal Rates'!$B$22:$B$27,'Renewal Rates'!$B$27,0),'Renewal Rates'!$F$7),IF(A866="Renewal",100%,0%))</f>
        <v>0</v>
      </c>
      <c r="U866" s="68">
        <f t="shared" si="13"/>
        <v>0</v>
      </c>
    </row>
    <row r="867" spans="1:21" s="41" customFormat="1" ht="13.8" x14ac:dyDescent="0.3">
      <c r="A867" s="115" t="s">
        <v>21</v>
      </c>
      <c r="B867" s="116">
        <v>3000103030</v>
      </c>
      <c r="C867" s="116">
        <v>4.0049999999999999</v>
      </c>
      <c r="D867" s="117">
        <v>35.4</v>
      </c>
      <c r="E867" s="117"/>
      <c r="F867" s="117">
        <v>750</v>
      </c>
      <c r="G867" s="117">
        <v>975</v>
      </c>
      <c r="H867" s="123">
        <v>4</v>
      </c>
      <c r="I867" s="117">
        <v>5</v>
      </c>
      <c r="J867" s="115">
        <v>386</v>
      </c>
      <c r="K867" s="115" t="s">
        <v>23</v>
      </c>
      <c r="L867" s="117" t="s">
        <v>24</v>
      </c>
      <c r="M867" s="66">
        <v>223457</v>
      </c>
      <c r="N867" s="66">
        <v>6309</v>
      </c>
      <c r="O867" s="66">
        <v>75975</v>
      </c>
      <c r="P867" s="66">
        <v>299432</v>
      </c>
      <c r="Q867" s="67">
        <v>0.4</v>
      </c>
      <c r="R867" s="66">
        <v>119773</v>
      </c>
      <c r="S867" s="66">
        <v>419205</v>
      </c>
      <c r="T867" s="106">
        <f>IF(A867="Upgrade",IF(OR(H867=4,H867=5),_xlfn.XLOOKUP(I867,'Renewal Rates'!$A$22:$A$27,'Renewal Rates'!$B$22:$B$27,'Renewal Rates'!$B$27,0),'Renewal Rates'!$F$7),IF(A867="Renewal",100%,0%))</f>
        <v>0.7</v>
      </c>
      <c r="U867" s="68">
        <f t="shared" si="13"/>
        <v>293443.5</v>
      </c>
    </row>
    <row r="868" spans="1:21" s="41" customFormat="1" ht="13.8" x14ac:dyDescent="0.3">
      <c r="A868" s="115" t="s">
        <v>21</v>
      </c>
      <c r="B868" s="116">
        <v>3000153261</v>
      </c>
      <c r="C868" s="116">
        <v>4.0049999999999999</v>
      </c>
      <c r="D868" s="117">
        <v>19.399999999999999</v>
      </c>
      <c r="E868" s="117"/>
      <c r="F868" s="117">
        <v>750</v>
      </c>
      <c r="G868" s="117">
        <v>975</v>
      </c>
      <c r="H868" s="123">
        <v>4</v>
      </c>
      <c r="I868" s="117"/>
      <c r="J868" s="115">
        <v>386</v>
      </c>
      <c r="K868" s="115" t="s">
        <v>23</v>
      </c>
      <c r="L868" s="117" t="s">
        <v>24</v>
      </c>
      <c r="M868" s="66">
        <v>148387</v>
      </c>
      <c r="N868" s="66">
        <v>7644</v>
      </c>
      <c r="O868" s="66">
        <v>50452</v>
      </c>
      <c r="P868" s="66">
        <v>198839</v>
      </c>
      <c r="Q868" s="67">
        <v>0.4</v>
      </c>
      <c r="R868" s="66">
        <v>79536</v>
      </c>
      <c r="S868" s="66">
        <v>278375</v>
      </c>
      <c r="T868" s="106">
        <f>IF(A868="Upgrade",IF(OR(H868=4,H868=5),_xlfn.XLOOKUP(I868,'Renewal Rates'!$A$22:$A$27,'Renewal Rates'!$B$22:$B$27,'Renewal Rates'!$B$27,0),'Renewal Rates'!$F$7),IF(A868="Renewal",100%,0%))</f>
        <v>0.116578</v>
      </c>
      <c r="U868" s="68">
        <f t="shared" si="13"/>
        <v>32452.400750000001</v>
      </c>
    </row>
    <row r="869" spans="1:21" s="41" customFormat="1" ht="13.8" x14ac:dyDescent="0.3">
      <c r="A869" s="115" t="s">
        <v>21</v>
      </c>
      <c r="B869" s="116">
        <v>2000322201</v>
      </c>
      <c r="C869" s="116">
        <v>4.0049999999999999</v>
      </c>
      <c r="D869" s="117">
        <v>17</v>
      </c>
      <c r="E869" s="117"/>
      <c r="F869" s="117">
        <v>750</v>
      </c>
      <c r="G869" s="117">
        <v>975</v>
      </c>
      <c r="H869" s="123">
        <v>4</v>
      </c>
      <c r="I869" s="117">
        <v>1</v>
      </c>
      <c r="J869" s="115">
        <v>386</v>
      </c>
      <c r="K869" s="115" t="s">
        <v>23</v>
      </c>
      <c r="L869" s="117" t="s">
        <v>24</v>
      </c>
      <c r="M869" s="66">
        <v>143944</v>
      </c>
      <c r="N869" s="66">
        <v>8459</v>
      </c>
      <c r="O869" s="66">
        <v>48941</v>
      </c>
      <c r="P869" s="66">
        <v>192885</v>
      </c>
      <c r="Q869" s="67">
        <v>0.4</v>
      </c>
      <c r="R869" s="66">
        <v>77154</v>
      </c>
      <c r="S869" s="66">
        <v>270039</v>
      </c>
      <c r="T869" s="106">
        <f>IF(A869="Upgrade",IF(OR(H869=4,H869=5),_xlfn.XLOOKUP(I869,'Renewal Rates'!$A$22:$A$27,'Renewal Rates'!$B$22:$B$27,'Renewal Rates'!$B$27,0),'Renewal Rates'!$F$7),IF(A869="Renewal",100%,0%))</f>
        <v>0</v>
      </c>
      <c r="U869" s="68">
        <f t="shared" si="13"/>
        <v>0</v>
      </c>
    </row>
    <row r="870" spans="1:21" s="41" customFormat="1" ht="13.8" x14ac:dyDescent="0.3">
      <c r="A870" s="115" t="s">
        <v>21</v>
      </c>
      <c r="B870" s="116">
        <v>2000519319</v>
      </c>
      <c r="C870" s="116">
        <v>4.0049999999999999</v>
      </c>
      <c r="D870" s="117">
        <v>18</v>
      </c>
      <c r="E870" s="117"/>
      <c r="F870" s="117">
        <v>750</v>
      </c>
      <c r="G870" s="117">
        <v>975</v>
      </c>
      <c r="H870" s="123">
        <v>4</v>
      </c>
      <c r="I870" s="117">
        <v>1</v>
      </c>
      <c r="J870" s="115">
        <v>386</v>
      </c>
      <c r="K870" s="115" t="s">
        <v>23</v>
      </c>
      <c r="L870" s="117" t="s">
        <v>24</v>
      </c>
      <c r="M870" s="66">
        <v>145810</v>
      </c>
      <c r="N870" s="66">
        <v>8090</v>
      </c>
      <c r="O870" s="66">
        <v>49575</v>
      </c>
      <c r="P870" s="66">
        <v>195385</v>
      </c>
      <c r="Q870" s="67">
        <v>0.4</v>
      </c>
      <c r="R870" s="66">
        <v>78154</v>
      </c>
      <c r="S870" s="66">
        <v>273539</v>
      </c>
      <c r="T870" s="106">
        <f>IF(A870="Upgrade",IF(OR(H870=4,H870=5),_xlfn.XLOOKUP(I870,'Renewal Rates'!$A$22:$A$27,'Renewal Rates'!$B$22:$B$27,'Renewal Rates'!$B$27,0),'Renewal Rates'!$F$7),IF(A870="Renewal",100%,0%))</f>
        <v>0</v>
      </c>
      <c r="U870" s="68">
        <f t="shared" ref="U870:U933" si="14">S870*T870</f>
        <v>0</v>
      </c>
    </row>
    <row r="871" spans="1:21" s="41" customFormat="1" ht="13.8" x14ac:dyDescent="0.3">
      <c r="A871" s="115" t="s">
        <v>21</v>
      </c>
      <c r="B871" s="116">
        <v>2000330443</v>
      </c>
      <c r="C871" s="116">
        <v>4.0049999999999999</v>
      </c>
      <c r="D871" s="117">
        <v>10.7</v>
      </c>
      <c r="E871" s="117"/>
      <c r="F871" s="117">
        <v>225</v>
      </c>
      <c r="G871" s="117">
        <v>975</v>
      </c>
      <c r="H871" s="123"/>
      <c r="I871" s="117" t="s">
        <v>122</v>
      </c>
      <c r="J871" s="115">
        <v>386</v>
      </c>
      <c r="K871" s="115" t="s">
        <v>23</v>
      </c>
      <c r="L871" s="117" t="s">
        <v>24</v>
      </c>
      <c r="M871" s="66">
        <v>109530</v>
      </c>
      <c r="N871" s="66">
        <v>10240</v>
      </c>
      <c r="O871" s="66">
        <v>37240</v>
      </c>
      <c r="P871" s="66">
        <v>146770</v>
      </c>
      <c r="Q871" s="67">
        <v>0.4</v>
      </c>
      <c r="R871" s="66">
        <v>58708</v>
      </c>
      <c r="S871" s="66">
        <v>205478</v>
      </c>
      <c r="T871" s="106">
        <f>IF(A871="Upgrade",IF(OR(H871=4,H871=5),_xlfn.XLOOKUP(I871,'Renewal Rates'!$A$22:$A$27,'Renewal Rates'!$B$22:$B$27,'Renewal Rates'!$B$27,0),'Renewal Rates'!$F$7),IF(A871="Renewal",100%,0%))</f>
        <v>2.6599999999999999E-2</v>
      </c>
      <c r="U871" s="68">
        <f t="shared" si="14"/>
        <v>5465.7147999999997</v>
      </c>
    </row>
    <row r="872" spans="1:21" s="41" customFormat="1" ht="13.8" x14ac:dyDescent="0.3">
      <c r="A872" s="115" t="s">
        <v>21</v>
      </c>
      <c r="B872" s="116">
        <v>2000323098</v>
      </c>
      <c r="C872" s="116">
        <v>4.0049999999999999</v>
      </c>
      <c r="D872" s="117">
        <v>14.9</v>
      </c>
      <c r="E872" s="117"/>
      <c r="F872" s="117">
        <v>225</v>
      </c>
      <c r="G872" s="117">
        <v>975</v>
      </c>
      <c r="H872" s="123"/>
      <c r="I872" s="117" t="s">
        <v>122</v>
      </c>
      <c r="J872" s="115">
        <v>386</v>
      </c>
      <c r="K872" s="115" t="s">
        <v>23</v>
      </c>
      <c r="L872" s="117" t="s">
        <v>24</v>
      </c>
      <c r="M872" s="66">
        <v>140051</v>
      </c>
      <c r="N872" s="66">
        <v>9388</v>
      </c>
      <c r="O872" s="66">
        <v>47617</v>
      </c>
      <c r="P872" s="66">
        <v>187668</v>
      </c>
      <c r="Q872" s="67">
        <v>0.4</v>
      </c>
      <c r="R872" s="66">
        <v>75067</v>
      </c>
      <c r="S872" s="66">
        <v>262736</v>
      </c>
      <c r="T872" s="106">
        <f>IF(A872="Upgrade",IF(OR(H872=4,H872=5),_xlfn.XLOOKUP(I872,'Renewal Rates'!$A$22:$A$27,'Renewal Rates'!$B$22:$B$27,'Renewal Rates'!$B$27,0),'Renewal Rates'!$F$7),IF(A872="Renewal",100%,0%))</f>
        <v>2.6599999999999999E-2</v>
      </c>
      <c r="U872" s="68">
        <f t="shared" si="14"/>
        <v>6988.7775999999994</v>
      </c>
    </row>
    <row r="873" spans="1:21" s="41" customFormat="1" ht="13.8" x14ac:dyDescent="0.3">
      <c r="A873" s="115" t="s">
        <v>21</v>
      </c>
      <c r="B873" s="116">
        <v>2000454976</v>
      </c>
      <c r="C873" s="116">
        <v>4.0049999999999999</v>
      </c>
      <c r="D873" s="117">
        <v>59</v>
      </c>
      <c r="E873" s="117"/>
      <c r="F873" s="117">
        <v>225</v>
      </c>
      <c r="G873" s="117">
        <v>975</v>
      </c>
      <c r="H873" s="123"/>
      <c r="I873" s="117" t="s">
        <v>122</v>
      </c>
      <c r="J873" s="115">
        <v>386</v>
      </c>
      <c r="K873" s="115" t="s">
        <v>23</v>
      </c>
      <c r="L873" s="117" t="s">
        <v>24</v>
      </c>
      <c r="M873" s="66">
        <v>396677</v>
      </c>
      <c r="N873" s="66">
        <v>6722</v>
      </c>
      <c r="O873" s="66">
        <v>134870</v>
      </c>
      <c r="P873" s="66">
        <v>531547</v>
      </c>
      <c r="Q873" s="67">
        <v>0.4</v>
      </c>
      <c r="R873" s="66">
        <v>212619</v>
      </c>
      <c r="S873" s="66">
        <v>744166</v>
      </c>
      <c r="T873" s="106">
        <f>IF(A873="Upgrade",IF(OR(H873=4,H873=5),_xlfn.XLOOKUP(I873,'Renewal Rates'!$A$22:$A$27,'Renewal Rates'!$B$22:$B$27,'Renewal Rates'!$B$27,0),'Renewal Rates'!$F$7),IF(A873="Renewal",100%,0%))</f>
        <v>2.6599999999999999E-2</v>
      </c>
      <c r="U873" s="68">
        <f t="shared" si="14"/>
        <v>19794.815599999998</v>
      </c>
    </row>
    <row r="874" spans="1:21" s="41" customFormat="1" ht="13.8" x14ac:dyDescent="0.3">
      <c r="A874" s="115" t="s">
        <v>25</v>
      </c>
      <c r="B874" s="116" t="s">
        <v>22</v>
      </c>
      <c r="C874" s="116">
        <v>4.0039999999999996</v>
      </c>
      <c r="D874" s="117"/>
      <c r="E874" s="117">
        <v>116.9</v>
      </c>
      <c r="F874" s="117"/>
      <c r="G874" s="117">
        <v>600</v>
      </c>
      <c r="H874" s="123"/>
      <c r="I874" s="117" t="s">
        <v>122</v>
      </c>
      <c r="J874" s="115">
        <v>386</v>
      </c>
      <c r="K874" s="115" t="s">
        <v>23</v>
      </c>
      <c r="L874" s="117" t="s">
        <v>24</v>
      </c>
      <c r="M874" s="66">
        <v>395550</v>
      </c>
      <c r="N874" s="66">
        <v>3384</v>
      </c>
      <c r="O874" s="66">
        <v>134487</v>
      </c>
      <c r="P874" s="66">
        <v>530037</v>
      </c>
      <c r="Q874" s="67">
        <v>0.4</v>
      </c>
      <c r="R874" s="66">
        <v>212015</v>
      </c>
      <c r="S874" s="66">
        <v>742052</v>
      </c>
      <c r="T874" s="106">
        <f>IF(A874="Upgrade",IF(OR(H874=4,H874=5),_xlfn.XLOOKUP(I874,'Renewal Rates'!$A$22:$A$27,'Renewal Rates'!$B$22:$B$27,'Renewal Rates'!$B$27,0),'Renewal Rates'!$F$7),IF(A874="Renewal",100%,0%))</f>
        <v>0</v>
      </c>
      <c r="U874" s="68">
        <f t="shared" si="14"/>
        <v>0</v>
      </c>
    </row>
    <row r="875" spans="1:21" s="41" customFormat="1" ht="13.8" x14ac:dyDescent="0.3">
      <c r="A875" s="115" t="s">
        <v>25</v>
      </c>
      <c r="B875" s="116" t="s">
        <v>22</v>
      </c>
      <c r="C875" s="116">
        <v>4.0030000000000001</v>
      </c>
      <c r="D875" s="117"/>
      <c r="E875" s="117">
        <v>127.5</v>
      </c>
      <c r="F875" s="117"/>
      <c r="G875" s="117">
        <v>675</v>
      </c>
      <c r="H875" s="123"/>
      <c r="I875" s="117" t="s">
        <v>122</v>
      </c>
      <c r="J875" s="115">
        <v>386</v>
      </c>
      <c r="K875" s="115" t="s">
        <v>23</v>
      </c>
      <c r="L875" s="117" t="s">
        <v>24</v>
      </c>
      <c r="M875" s="66">
        <v>485779</v>
      </c>
      <c r="N875" s="66">
        <v>3809</v>
      </c>
      <c r="O875" s="66">
        <v>165165</v>
      </c>
      <c r="P875" s="66">
        <v>650944</v>
      </c>
      <c r="Q875" s="67">
        <v>0.4</v>
      </c>
      <c r="R875" s="66">
        <v>260378</v>
      </c>
      <c r="S875" s="66">
        <v>911322</v>
      </c>
      <c r="T875" s="106">
        <f>IF(A875="Upgrade",IF(OR(H875=4,H875=5),_xlfn.XLOOKUP(I875,'Renewal Rates'!$A$22:$A$27,'Renewal Rates'!$B$22:$B$27,'Renewal Rates'!$B$27,0),'Renewal Rates'!$F$7),IF(A875="Renewal",100%,0%))</f>
        <v>0</v>
      </c>
      <c r="U875" s="68">
        <f t="shared" si="14"/>
        <v>0</v>
      </c>
    </row>
    <row r="876" spans="1:21" s="41" customFormat="1" ht="13.8" x14ac:dyDescent="0.3">
      <c r="A876" s="115" t="s">
        <v>21</v>
      </c>
      <c r="B876" s="116">
        <v>2000502090</v>
      </c>
      <c r="C876" s="116">
        <v>5.0060000000000002</v>
      </c>
      <c r="D876" s="117">
        <v>13.5</v>
      </c>
      <c r="E876" s="117"/>
      <c r="F876" s="117">
        <v>375</v>
      </c>
      <c r="G876" s="117">
        <v>525</v>
      </c>
      <c r="H876" s="123"/>
      <c r="I876" s="117" t="s">
        <v>122</v>
      </c>
      <c r="J876" s="115">
        <v>387</v>
      </c>
      <c r="K876" s="115" t="s">
        <v>23</v>
      </c>
      <c r="L876" s="117" t="s">
        <v>24</v>
      </c>
      <c r="M876" s="66">
        <v>91540</v>
      </c>
      <c r="N876" s="66">
        <v>6774</v>
      </c>
      <c r="O876" s="66">
        <v>31124</v>
      </c>
      <c r="P876" s="66">
        <v>122664</v>
      </c>
      <c r="Q876" s="67">
        <v>0.4</v>
      </c>
      <c r="R876" s="66">
        <v>49065</v>
      </c>
      <c r="S876" s="66">
        <v>171729</v>
      </c>
      <c r="T876" s="106">
        <f>IF(A876="Upgrade",IF(OR(H876=4,H876=5),_xlfn.XLOOKUP(I876,'Renewal Rates'!$A$22:$A$27,'Renewal Rates'!$B$22:$B$27,'Renewal Rates'!$B$27,0),'Renewal Rates'!$F$7),IF(A876="Renewal",100%,0%))</f>
        <v>2.6599999999999999E-2</v>
      </c>
      <c r="U876" s="68">
        <f t="shared" si="14"/>
        <v>4567.9913999999999</v>
      </c>
    </row>
    <row r="877" spans="1:21" s="41" customFormat="1" ht="13.8" x14ac:dyDescent="0.3">
      <c r="A877" s="115" t="s">
        <v>21</v>
      </c>
      <c r="B877" s="116">
        <v>2000720633</v>
      </c>
      <c r="C877" s="116">
        <v>5.0060000000000002</v>
      </c>
      <c r="D877" s="117">
        <v>12.6</v>
      </c>
      <c r="E877" s="117"/>
      <c r="F877" s="117">
        <v>375</v>
      </c>
      <c r="G877" s="117">
        <v>525</v>
      </c>
      <c r="H877" s="123"/>
      <c r="I877" s="117" t="s">
        <v>122</v>
      </c>
      <c r="J877" s="115">
        <v>387</v>
      </c>
      <c r="K877" s="115" t="s">
        <v>23</v>
      </c>
      <c r="L877" s="117" t="s">
        <v>24</v>
      </c>
      <c r="M877" s="66">
        <v>54916</v>
      </c>
      <c r="N877" s="66">
        <v>4362</v>
      </c>
      <c r="O877" s="66">
        <v>18672</v>
      </c>
      <c r="P877" s="66">
        <v>73588</v>
      </c>
      <c r="Q877" s="67">
        <v>0.4</v>
      </c>
      <c r="R877" s="66">
        <v>29435</v>
      </c>
      <c r="S877" s="66">
        <v>103023</v>
      </c>
      <c r="T877" s="106">
        <f>IF(A877="Upgrade",IF(OR(H877=4,H877=5),_xlfn.XLOOKUP(I877,'Renewal Rates'!$A$22:$A$27,'Renewal Rates'!$B$22:$B$27,'Renewal Rates'!$B$27,0),'Renewal Rates'!$F$7),IF(A877="Renewal",100%,0%))</f>
        <v>2.6599999999999999E-2</v>
      </c>
      <c r="U877" s="68">
        <f t="shared" si="14"/>
        <v>2740.4117999999999</v>
      </c>
    </row>
    <row r="878" spans="1:21" s="41" customFormat="1" ht="13.8" x14ac:dyDescent="0.3">
      <c r="A878" s="115" t="s">
        <v>21</v>
      </c>
      <c r="B878" s="116">
        <v>2000410499</v>
      </c>
      <c r="C878" s="116">
        <v>5.0060000000000002</v>
      </c>
      <c r="D878" s="117">
        <v>46.1</v>
      </c>
      <c r="E878" s="117"/>
      <c r="F878" s="117">
        <v>225</v>
      </c>
      <c r="G878" s="117">
        <v>525</v>
      </c>
      <c r="H878" s="123"/>
      <c r="I878" s="117" t="s">
        <v>122</v>
      </c>
      <c r="J878" s="115">
        <v>387</v>
      </c>
      <c r="K878" s="115" t="s">
        <v>23</v>
      </c>
      <c r="L878" s="117" t="s">
        <v>24</v>
      </c>
      <c r="M878" s="66">
        <v>142462</v>
      </c>
      <c r="N878" s="66">
        <v>3092</v>
      </c>
      <c r="O878" s="66">
        <v>48437</v>
      </c>
      <c r="P878" s="66">
        <v>190899</v>
      </c>
      <c r="Q878" s="67">
        <v>0.4</v>
      </c>
      <c r="R878" s="66">
        <v>76360</v>
      </c>
      <c r="S878" s="66">
        <v>267258</v>
      </c>
      <c r="T878" s="106">
        <f>IF(A878="Upgrade",IF(OR(H878=4,H878=5),_xlfn.XLOOKUP(I878,'Renewal Rates'!$A$22:$A$27,'Renewal Rates'!$B$22:$B$27,'Renewal Rates'!$B$27,0),'Renewal Rates'!$F$7),IF(A878="Renewal",100%,0%))</f>
        <v>2.6599999999999999E-2</v>
      </c>
      <c r="U878" s="68">
        <f t="shared" si="14"/>
        <v>7109.0627999999997</v>
      </c>
    </row>
    <row r="879" spans="1:21" s="41" customFormat="1" ht="13.8" x14ac:dyDescent="0.3">
      <c r="A879" s="115" t="s">
        <v>21</v>
      </c>
      <c r="B879" s="116">
        <v>2000121214</v>
      </c>
      <c r="C879" s="116">
        <v>5.01</v>
      </c>
      <c r="D879" s="117">
        <v>23.9</v>
      </c>
      <c r="E879" s="117"/>
      <c r="F879" s="117">
        <v>300</v>
      </c>
      <c r="G879" s="117">
        <v>975</v>
      </c>
      <c r="H879" s="123"/>
      <c r="I879" s="117" t="s">
        <v>122</v>
      </c>
      <c r="J879" s="115">
        <v>387</v>
      </c>
      <c r="K879" s="115" t="s">
        <v>23</v>
      </c>
      <c r="L879" s="117" t="s">
        <v>24</v>
      </c>
      <c r="M879" s="66">
        <v>218411</v>
      </c>
      <c r="N879" s="66">
        <v>9137</v>
      </c>
      <c r="O879" s="66">
        <v>74260</v>
      </c>
      <c r="P879" s="66">
        <v>292671</v>
      </c>
      <c r="Q879" s="67">
        <v>0.4</v>
      </c>
      <c r="R879" s="66">
        <v>117068</v>
      </c>
      <c r="S879" s="66">
        <v>409739</v>
      </c>
      <c r="T879" s="106">
        <f>IF(A879="Upgrade",IF(OR(H879=4,H879=5),_xlfn.XLOOKUP(I879,'Renewal Rates'!$A$22:$A$27,'Renewal Rates'!$B$22:$B$27,'Renewal Rates'!$B$27,0),'Renewal Rates'!$F$7),IF(A879="Renewal",100%,0%))</f>
        <v>2.6599999999999999E-2</v>
      </c>
      <c r="U879" s="68">
        <f t="shared" si="14"/>
        <v>10899.0574</v>
      </c>
    </row>
    <row r="880" spans="1:21" s="41" customFormat="1" ht="13.8" x14ac:dyDescent="0.3">
      <c r="A880" s="115" t="s">
        <v>21</v>
      </c>
      <c r="B880" s="116">
        <v>2000560330</v>
      </c>
      <c r="C880" s="116">
        <v>5.01</v>
      </c>
      <c r="D880" s="117">
        <v>43.1</v>
      </c>
      <c r="E880" s="117"/>
      <c r="F880" s="117">
        <v>450</v>
      </c>
      <c r="G880" s="117">
        <v>975</v>
      </c>
      <c r="H880" s="123"/>
      <c r="I880" s="117" t="s">
        <v>122</v>
      </c>
      <c r="J880" s="115">
        <v>387</v>
      </c>
      <c r="K880" s="115" t="s">
        <v>23</v>
      </c>
      <c r="L880" s="117" t="s">
        <v>24</v>
      </c>
      <c r="M880" s="66">
        <v>260419</v>
      </c>
      <c r="N880" s="66">
        <v>6041</v>
      </c>
      <c r="O880" s="66">
        <v>88542</v>
      </c>
      <c r="P880" s="66">
        <v>348961</v>
      </c>
      <c r="Q880" s="67">
        <v>0.4</v>
      </c>
      <c r="R880" s="66">
        <v>139585</v>
      </c>
      <c r="S880" s="66">
        <v>488546</v>
      </c>
      <c r="T880" s="106">
        <f>IF(A880="Upgrade",IF(OR(H880=4,H880=5),_xlfn.XLOOKUP(I880,'Renewal Rates'!$A$22:$A$27,'Renewal Rates'!$B$22:$B$27,'Renewal Rates'!$B$27,0),'Renewal Rates'!$F$7),IF(A880="Renewal",100%,0%))</f>
        <v>2.6599999999999999E-2</v>
      </c>
      <c r="U880" s="68">
        <f t="shared" si="14"/>
        <v>12995.3236</v>
      </c>
    </row>
    <row r="881" spans="1:21" s="41" customFormat="1" ht="13.8" x14ac:dyDescent="0.3">
      <c r="A881" s="115" t="s">
        <v>21</v>
      </c>
      <c r="B881" s="116">
        <v>3000143843</v>
      </c>
      <c r="C881" s="116">
        <v>5.01</v>
      </c>
      <c r="D881" s="117">
        <v>35.4</v>
      </c>
      <c r="E881" s="117"/>
      <c r="F881" s="117">
        <v>450</v>
      </c>
      <c r="G881" s="117">
        <v>975</v>
      </c>
      <c r="H881" s="123"/>
      <c r="I881" s="117" t="s">
        <v>122</v>
      </c>
      <c r="J881" s="115">
        <v>387</v>
      </c>
      <c r="K881" s="115" t="s">
        <v>23</v>
      </c>
      <c r="L881" s="117" t="s">
        <v>24</v>
      </c>
      <c r="M881" s="66">
        <v>223337</v>
      </c>
      <c r="N881" s="66">
        <v>6318</v>
      </c>
      <c r="O881" s="66">
        <v>75935</v>
      </c>
      <c r="P881" s="66">
        <v>299271</v>
      </c>
      <c r="Q881" s="67">
        <v>0.4</v>
      </c>
      <c r="R881" s="66">
        <v>119709</v>
      </c>
      <c r="S881" s="66">
        <v>418980</v>
      </c>
      <c r="T881" s="106">
        <f>IF(A881="Upgrade",IF(OR(H881=4,H881=5),_xlfn.XLOOKUP(I881,'Renewal Rates'!$A$22:$A$27,'Renewal Rates'!$B$22:$B$27,'Renewal Rates'!$B$27,0),'Renewal Rates'!$F$7),IF(A881="Renewal",100%,0%))</f>
        <v>2.6599999999999999E-2</v>
      </c>
      <c r="U881" s="68">
        <f t="shared" si="14"/>
        <v>11144.867999999999</v>
      </c>
    </row>
    <row r="882" spans="1:21" s="41" customFormat="1" ht="13.8" x14ac:dyDescent="0.3">
      <c r="A882" s="115" t="s">
        <v>21</v>
      </c>
      <c r="B882" s="116">
        <v>2000651226</v>
      </c>
      <c r="C882" s="116">
        <v>5.01</v>
      </c>
      <c r="D882" s="117">
        <v>4.5</v>
      </c>
      <c r="E882" s="117"/>
      <c r="F882" s="117">
        <v>400</v>
      </c>
      <c r="G882" s="117">
        <v>975</v>
      </c>
      <c r="H882" s="123"/>
      <c r="I882" s="117" t="s">
        <v>122</v>
      </c>
      <c r="J882" s="115">
        <v>387</v>
      </c>
      <c r="K882" s="115" t="s">
        <v>23</v>
      </c>
      <c r="L882" s="117" t="s">
        <v>24</v>
      </c>
      <c r="M882" s="66">
        <v>75354</v>
      </c>
      <c r="N882" s="66">
        <v>16730</v>
      </c>
      <c r="O882" s="66">
        <v>25620</v>
      </c>
      <c r="P882" s="66">
        <v>100974</v>
      </c>
      <c r="Q882" s="67">
        <v>0.4</v>
      </c>
      <c r="R882" s="66">
        <v>40390</v>
      </c>
      <c r="S882" s="66">
        <v>141364</v>
      </c>
      <c r="T882" s="106">
        <f>IF(A882="Upgrade",IF(OR(H882=4,H882=5),_xlfn.XLOOKUP(I882,'Renewal Rates'!$A$22:$A$27,'Renewal Rates'!$B$22:$B$27,'Renewal Rates'!$B$27,0),'Renewal Rates'!$F$7),IF(A882="Renewal",100%,0%))</f>
        <v>2.6599999999999999E-2</v>
      </c>
      <c r="U882" s="68">
        <f t="shared" si="14"/>
        <v>3760.2823999999996</v>
      </c>
    </row>
    <row r="883" spans="1:21" s="41" customFormat="1" ht="13.8" x14ac:dyDescent="0.3">
      <c r="A883" s="115" t="s">
        <v>21</v>
      </c>
      <c r="B883" s="116">
        <v>2000685961</v>
      </c>
      <c r="C883" s="116">
        <v>5.01</v>
      </c>
      <c r="D883" s="117">
        <v>10.4</v>
      </c>
      <c r="E883" s="117"/>
      <c r="F883" s="117">
        <v>450</v>
      </c>
      <c r="G883" s="117">
        <v>975</v>
      </c>
      <c r="H883" s="123"/>
      <c r="I883" s="117" t="s">
        <v>122</v>
      </c>
      <c r="J883" s="115">
        <v>387</v>
      </c>
      <c r="K883" s="115" t="s">
        <v>23</v>
      </c>
      <c r="L883" s="117" t="s">
        <v>24</v>
      </c>
      <c r="M883" s="66">
        <v>108940</v>
      </c>
      <c r="N883" s="66">
        <v>10497</v>
      </c>
      <c r="O883" s="66">
        <v>37039</v>
      </c>
      <c r="P883" s="66">
        <v>145979</v>
      </c>
      <c r="Q883" s="67">
        <v>0.4</v>
      </c>
      <c r="R883" s="66">
        <v>58392</v>
      </c>
      <c r="S883" s="66">
        <v>204371</v>
      </c>
      <c r="T883" s="106">
        <f>IF(A883="Upgrade",IF(OR(H883=4,H883=5),_xlfn.XLOOKUP(I883,'Renewal Rates'!$A$22:$A$27,'Renewal Rates'!$B$22:$B$27,'Renewal Rates'!$B$27,0),'Renewal Rates'!$F$7),IF(A883="Renewal",100%,0%))</f>
        <v>2.6599999999999999E-2</v>
      </c>
      <c r="U883" s="68">
        <f t="shared" si="14"/>
        <v>5436.2685999999994</v>
      </c>
    </row>
    <row r="884" spans="1:21" s="41" customFormat="1" ht="13.8" x14ac:dyDescent="0.3">
      <c r="A884" s="115" t="s">
        <v>21</v>
      </c>
      <c r="B884" s="116">
        <v>2000369495</v>
      </c>
      <c r="C884" s="116">
        <v>5.0049999999999999</v>
      </c>
      <c r="D884" s="117">
        <v>4.3</v>
      </c>
      <c r="E884" s="117"/>
      <c r="F884" s="117">
        <v>450</v>
      </c>
      <c r="G884" s="117">
        <v>825</v>
      </c>
      <c r="H884" s="123"/>
      <c r="I884" s="117" t="s">
        <v>122</v>
      </c>
      <c r="J884" s="115">
        <v>387</v>
      </c>
      <c r="K884" s="115" t="s">
        <v>23</v>
      </c>
      <c r="L884" s="117" t="s">
        <v>24</v>
      </c>
      <c r="M884" s="66">
        <v>55604</v>
      </c>
      <c r="N884" s="66">
        <v>12990</v>
      </c>
      <c r="O884" s="66">
        <v>18905</v>
      </c>
      <c r="P884" s="66">
        <v>74509</v>
      </c>
      <c r="Q884" s="67">
        <v>0.4</v>
      </c>
      <c r="R884" s="66">
        <v>29804</v>
      </c>
      <c r="S884" s="66">
        <v>104313</v>
      </c>
      <c r="T884" s="106">
        <f>IF(A884="Upgrade",IF(OR(H884=4,H884=5),_xlfn.XLOOKUP(I884,'Renewal Rates'!$A$22:$A$27,'Renewal Rates'!$B$22:$B$27,'Renewal Rates'!$B$27,0),'Renewal Rates'!$F$7),IF(A884="Renewal",100%,0%))</f>
        <v>2.6599999999999999E-2</v>
      </c>
      <c r="U884" s="68">
        <f t="shared" si="14"/>
        <v>2774.7257999999997</v>
      </c>
    </row>
    <row r="885" spans="1:21" s="41" customFormat="1" ht="13.8" x14ac:dyDescent="0.3">
      <c r="A885" s="115" t="s">
        <v>21</v>
      </c>
      <c r="B885" s="116">
        <v>2000085571</v>
      </c>
      <c r="C885" s="116">
        <v>5.0049999999999999</v>
      </c>
      <c r="D885" s="117">
        <v>98.3</v>
      </c>
      <c r="E885" s="117"/>
      <c r="F885" s="117">
        <v>450</v>
      </c>
      <c r="G885" s="117">
        <v>825</v>
      </c>
      <c r="H885" s="123"/>
      <c r="I885" s="117" t="s">
        <v>122</v>
      </c>
      <c r="J885" s="115">
        <v>387</v>
      </c>
      <c r="K885" s="115" t="s">
        <v>23</v>
      </c>
      <c r="L885" s="117" t="s">
        <v>24</v>
      </c>
      <c r="M885" s="66">
        <v>436781</v>
      </c>
      <c r="N885" s="66">
        <v>4442</v>
      </c>
      <c r="O885" s="66">
        <v>148505</v>
      </c>
      <c r="P885" s="66">
        <v>585286</v>
      </c>
      <c r="Q885" s="67">
        <v>0.4</v>
      </c>
      <c r="R885" s="66">
        <v>234114</v>
      </c>
      <c r="S885" s="66">
        <v>819400</v>
      </c>
      <c r="T885" s="106">
        <f>IF(A885="Upgrade",IF(OR(H885=4,H885=5),_xlfn.XLOOKUP(I885,'Renewal Rates'!$A$22:$A$27,'Renewal Rates'!$B$22:$B$27,'Renewal Rates'!$B$27,0),'Renewal Rates'!$F$7),IF(A885="Renewal",100%,0%))</f>
        <v>2.6599999999999999E-2</v>
      </c>
      <c r="U885" s="68">
        <f t="shared" si="14"/>
        <v>21796.039999999997</v>
      </c>
    </row>
    <row r="886" spans="1:21" s="41" customFormat="1" ht="13.8" x14ac:dyDescent="0.3">
      <c r="A886" s="115" t="s">
        <v>21</v>
      </c>
      <c r="B886" s="116">
        <v>2000604950</v>
      </c>
      <c r="C886" s="116">
        <v>5.0049999999999999</v>
      </c>
      <c r="D886" s="117">
        <v>94.2</v>
      </c>
      <c r="E886" s="117"/>
      <c r="F886" s="117">
        <v>450</v>
      </c>
      <c r="G886" s="117">
        <v>825</v>
      </c>
      <c r="H886" s="123"/>
      <c r="I886" s="117" t="s">
        <v>122</v>
      </c>
      <c r="J886" s="115">
        <v>387</v>
      </c>
      <c r="K886" s="115" t="s">
        <v>23</v>
      </c>
      <c r="L886" s="117" t="s">
        <v>24</v>
      </c>
      <c r="M886" s="66">
        <v>411035</v>
      </c>
      <c r="N886" s="66">
        <v>4364</v>
      </c>
      <c r="O886" s="66">
        <v>139752</v>
      </c>
      <c r="P886" s="66">
        <v>550787</v>
      </c>
      <c r="Q886" s="67">
        <v>0.4</v>
      </c>
      <c r="R886" s="66">
        <v>220315</v>
      </c>
      <c r="S886" s="66">
        <v>771102</v>
      </c>
      <c r="T886" s="106">
        <f>IF(A886="Upgrade",IF(OR(H886=4,H886=5),_xlfn.XLOOKUP(I886,'Renewal Rates'!$A$22:$A$27,'Renewal Rates'!$B$22:$B$27,'Renewal Rates'!$B$27,0),'Renewal Rates'!$F$7),IF(A886="Renewal",100%,0%))</f>
        <v>2.6599999999999999E-2</v>
      </c>
      <c r="U886" s="68">
        <f t="shared" si="14"/>
        <v>20511.313200000001</v>
      </c>
    </row>
    <row r="887" spans="1:21" s="41" customFormat="1" ht="13.8" x14ac:dyDescent="0.3">
      <c r="A887" s="115" t="s">
        <v>25</v>
      </c>
      <c r="B887" s="116" t="s">
        <v>22</v>
      </c>
      <c r="C887" s="116">
        <v>3.0230000000000001</v>
      </c>
      <c r="D887" s="117"/>
      <c r="E887" s="117">
        <v>104.8</v>
      </c>
      <c r="F887" s="117"/>
      <c r="G887" s="117">
        <v>450</v>
      </c>
      <c r="H887" s="123"/>
      <c r="I887" s="117" t="s">
        <v>122</v>
      </c>
      <c r="J887" s="115">
        <v>387</v>
      </c>
      <c r="K887" s="115" t="s">
        <v>23</v>
      </c>
      <c r="L887" s="117" t="s">
        <v>24</v>
      </c>
      <c r="M887" s="66">
        <v>310183</v>
      </c>
      <c r="N887" s="66">
        <v>2961</v>
      </c>
      <c r="O887" s="66">
        <v>105462</v>
      </c>
      <c r="P887" s="66">
        <v>415646</v>
      </c>
      <c r="Q887" s="67">
        <v>0.4</v>
      </c>
      <c r="R887" s="66">
        <v>166258</v>
      </c>
      <c r="S887" s="66">
        <v>581904</v>
      </c>
      <c r="T887" s="106">
        <f>IF(A887="Upgrade",IF(OR(H887=4,H887=5),_xlfn.XLOOKUP(I887,'Renewal Rates'!$A$22:$A$27,'Renewal Rates'!$B$22:$B$27,'Renewal Rates'!$B$27,0),'Renewal Rates'!$F$7),IF(A887="Renewal",100%,0%))</f>
        <v>0</v>
      </c>
      <c r="U887" s="68">
        <f t="shared" si="14"/>
        <v>0</v>
      </c>
    </row>
    <row r="888" spans="1:21" s="41" customFormat="1" ht="13.8" x14ac:dyDescent="0.3">
      <c r="A888" s="115" t="s">
        <v>21</v>
      </c>
      <c r="B888" s="116">
        <v>2000594440</v>
      </c>
      <c r="C888" s="116">
        <v>5.0039999999999996</v>
      </c>
      <c r="D888" s="117">
        <v>79.5</v>
      </c>
      <c r="E888" s="117"/>
      <c r="F888" s="117">
        <v>225</v>
      </c>
      <c r="G888" s="117">
        <v>525</v>
      </c>
      <c r="H888" s="123">
        <v>4</v>
      </c>
      <c r="I888" s="117">
        <v>2</v>
      </c>
      <c r="J888" s="115">
        <v>387</v>
      </c>
      <c r="K888" s="115" t="s">
        <v>23</v>
      </c>
      <c r="L888" s="117" t="s">
        <v>24</v>
      </c>
      <c r="M888" s="66">
        <v>265170</v>
      </c>
      <c r="N888" s="66">
        <v>3337</v>
      </c>
      <c r="O888" s="66">
        <v>90158</v>
      </c>
      <c r="P888" s="66">
        <v>355328</v>
      </c>
      <c r="Q888" s="67">
        <v>0.4</v>
      </c>
      <c r="R888" s="66">
        <v>142131</v>
      </c>
      <c r="S888" s="66">
        <v>497460</v>
      </c>
      <c r="T888" s="106">
        <f>IF(A888="Upgrade",IF(OR(H888=4,H888=5),_xlfn.XLOOKUP(I888,'Renewal Rates'!$A$22:$A$27,'Renewal Rates'!$B$22:$B$27,'Renewal Rates'!$B$27,0),'Renewal Rates'!$F$7),IF(A888="Renewal",100%,0%))</f>
        <v>0</v>
      </c>
      <c r="U888" s="68">
        <f t="shared" si="14"/>
        <v>0</v>
      </c>
    </row>
    <row r="889" spans="1:21" s="41" customFormat="1" ht="13.8" x14ac:dyDescent="0.3">
      <c r="A889" s="115" t="s">
        <v>21</v>
      </c>
      <c r="B889" s="116">
        <v>2000630816</v>
      </c>
      <c r="C889" s="116">
        <v>5.0039999999999996</v>
      </c>
      <c r="D889" s="117">
        <v>35.9</v>
      </c>
      <c r="E889" s="117"/>
      <c r="F889" s="117">
        <v>225</v>
      </c>
      <c r="G889" s="117">
        <v>525</v>
      </c>
      <c r="H889" s="123">
        <v>4</v>
      </c>
      <c r="I889" s="117">
        <v>3</v>
      </c>
      <c r="J889" s="115">
        <v>387</v>
      </c>
      <c r="K889" s="115" t="s">
        <v>23</v>
      </c>
      <c r="L889" s="117" t="s">
        <v>24</v>
      </c>
      <c r="M889" s="66">
        <v>114177</v>
      </c>
      <c r="N889" s="66">
        <v>3177</v>
      </c>
      <c r="O889" s="66">
        <v>38820</v>
      </c>
      <c r="P889" s="66">
        <v>152997</v>
      </c>
      <c r="Q889" s="67">
        <v>0.4</v>
      </c>
      <c r="R889" s="66">
        <v>61199</v>
      </c>
      <c r="S889" s="66">
        <v>214195</v>
      </c>
      <c r="T889" s="106">
        <f>IF(A889="Upgrade",IF(OR(H889=4,H889=5),_xlfn.XLOOKUP(I889,'Renewal Rates'!$A$22:$A$27,'Renewal Rates'!$B$22:$B$27,'Renewal Rates'!$B$27,0),'Renewal Rates'!$F$7),IF(A889="Renewal",100%,0%))</f>
        <v>0.21</v>
      </c>
      <c r="U889" s="68">
        <f t="shared" si="14"/>
        <v>44980.95</v>
      </c>
    </row>
    <row r="890" spans="1:21" s="41" customFormat="1" ht="13.8" x14ac:dyDescent="0.3">
      <c r="A890" s="115" t="s">
        <v>21</v>
      </c>
      <c r="B890" s="116">
        <v>2000618516</v>
      </c>
      <c r="C890" s="116">
        <v>5.0039999999999996</v>
      </c>
      <c r="D890" s="117">
        <v>4</v>
      </c>
      <c r="E890" s="117"/>
      <c r="F890" s="117">
        <v>300</v>
      </c>
      <c r="G890" s="117">
        <v>525</v>
      </c>
      <c r="H890" s="123"/>
      <c r="I890" s="117" t="s">
        <v>122</v>
      </c>
      <c r="J890" s="115">
        <v>387</v>
      </c>
      <c r="K890" s="115" t="s">
        <v>23</v>
      </c>
      <c r="L890" s="117" t="s">
        <v>24</v>
      </c>
      <c r="M890" s="66">
        <v>47422</v>
      </c>
      <c r="N890" s="66">
        <v>11839</v>
      </c>
      <c r="O890" s="66">
        <v>16124</v>
      </c>
      <c r="P890" s="66">
        <v>63546</v>
      </c>
      <c r="Q890" s="67">
        <v>0.4</v>
      </c>
      <c r="R890" s="66">
        <v>25418</v>
      </c>
      <c r="S890" s="66">
        <v>88964</v>
      </c>
      <c r="T890" s="106">
        <f>IF(A890="Upgrade",IF(OR(H890=4,H890=5),_xlfn.XLOOKUP(I890,'Renewal Rates'!$A$22:$A$27,'Renewal Rates'!$B$22:$B$27,'Renewal Rates'!$B$27,0),'Renewal Rates'!$F$7),IF(A890="Renewal",100%,0%))</f>
        <v>2.6599999999999999E-2</v>
      </c>
      <c r="U890" s="68">
        <f t="shared" si="14"/>
        <v>2366.4423999999999</v>
      </c>
    </row>
    <row r="891" spans="1:21" s="41" customFormat="1" ht="13.8" x14ac:dyDescent="0.3">
      <c r="A891" s="115" t="s">
        <v>21</v>
      </c>
      <c r="B891" s="116">
        <v>2000302510</v>
      </c>
      <c r="C891" s="116">
        <v>5.0039999999999996</v>
      </c>
      <c r="D891" s="117">
        <v>51.5</v>
      </c>
      <c r="E891" s="117"/>
      <c r="F891" s="117">
        <v>300</v>
      </c>
      <c r="G891" s="117">
        <v>525</v>
      </c>
      <c r="H891" s="123"/>
      <c r="I891" s="117" t="s">
        <v>122</v>
      </c>
      <c r="J891" s="115">
        <v>387</v>
      </c>
      <c r="K891" s="115" t="s">
        <v>23</v>
      </c>
      <c r="L891" s="117" t="s">
        <v>24</v>
      </c>
      <c r="M891" s="66">
        <v>166057</v>
      </c>
      <c r="N891" s="66">
        <v>3225</v>
      </c>
      <c r="O891" s="66">
        <v>56459</v>
      </c>
      <c r="P891" s="66">
        <v>222517</v>
      </c>
      <c r="Q891" s="67">
        <v>0.4</v>
      </c>
      <c r="R891" s="66">
        <v>89007</v>
      </c>
      <c r="S891" s="66">
        <v>311523</v>
      </c>
      <c r="T891" s="106">
        <f>IF(A891="Upgrade",IF(OR(H891=4,H891=5),_xlfn.XLOOKUP(I891,'Renewal Rates'!$A$22:$A$27,'Renewal Rates'!$B$22:$B$27,'Renewal Rates'!$B$27,0),'Renewal Rates'!$F$7),IF(A891="Renewal",100%,0%))</f>
        <v>2.6599999999999999E-2</v>
      </c>
      <c r="U891" s="68">
        <f t="shared" si="14"/>
        <v>8286.5118000000002</v>
      </c>
    </row>
    <row r="892" spans="1:21" s="41" customFormat="1" ht="13.8" x14ac:dyDescent="0.3">
      <c r="A892" s="115" t="s">
        <v>21</v>
      </c>
      <c r="B892" s="116">
        <v>2000062545</v>
      </c>
      <c r="C892" s="116">
        <v>5.0030000000000001</v>
      </c>
      <c r="D892" s="117">
        <v>43.5</v>
      </c>
      <c r="E892" s="117"/>
      <c r="F892" s="117">
        <v>300</v>
      </c>
      <c r="G892" s="117">
        <v>600</v>
      </c>
      <c r="H892" s="123"/>
      <c r="I892" s="117" t="s">
        <v>122</v>
      </c>
      <c r="J892" s="115">
        <v>387</v>
      </c>
      <c r="K892" s="115" t="s">
        <v>23</v>
      </c>
      <c r="L892" s="117" t="s">
        <v>24</v>
      </c>
      <c r="M892" s="66">
        <v>163090</v>
      </c>
      <c r="N892" s="66">
        <v>3753</v>
      </c>
      <c r="O892" s="66">
        <v>55451</v>
      </c>
      <c r="P892" s="66">
        <v>218541</v>
      </c>
      <c r="Q892" s="67">
        <v>0.4</v>
      </c>
      <c r="R892" s="66">
        <v>87416</v>
      </c>
      <c r="S892" s="66">
        <v>305957</v>
      </c>
      <c r="T892" s="106">
        <f>IF(A892="Upgrade",IF(OR(H892=4,H892=5),_xlfn.XLOOKUP(I892,'Renewal Rates'!$A$22:$A$27,'Renewal Rates'!$B$22:$B$27,'Renewal Rates'!$B$27,0),'Renewal Rates'!$F$7),IF(A892="Renewal",100%,0%))</f>
        <v>2.6599999999999999E-2</v>
      </c>
      <c r="U892" s="68">
        <f t="shared" si="14"/>
        <v>8138.4561999999996</v>
      </c>
    </row>
    <row r="893" spans="1:21" s="41" customFormat="1" ht="13.8" x14ac:dyDescent="0.3">
      <c r="A893" s="115" t="s">
        <v>21</v>
      </c>
      <c r="B893" s="116">
        <v>2000462771</v>
      </c>
      <c r="C893" s="116">
        <v>5.0030000000000001</v>
      </c>
      <c r="D893" s="117">
        <v>67.7</v>
      </c>
      <c r="E893" s="117"/>
      <c r="F893" s="117">
        <v>300</v>
      </c>
      <c r="G893" s="117">
        <v>600</v>
      </c>
      <c r="H893" s="123">
        <v>4</v>
      </c>
      <c r="I893" s="117">
        <v>3</v>
      </c>
      <c r="J893" s="115">
        <v>387</v>
      </c>
      <c r="K893" s="115" t="s">
        <v>23</v>
      </c>
      <c r="L893" s="117" t="s">
        <v>24</v>
      </c>
      <c r="M893" s="66">
        <v>229116</v>
      </c>
      <c r="N893" s="66">
        <v>3382</v>
      </c>
      <c r="O893" s="66">
        <v>77900</v>
      </c>
      <c r="P893" s="66">
        <v>307016</v>
      </c>
      <c r="Q893" s="67">
        <v>0.4</v>
      </c>
      <c r="R893" s="66">
        <v>122806</v>
      </c>
      <c r="S893" s="66">
        <v>429822</v>
      </c>
      <c r="T893" s="106">
        <f>IF(A893="Upgrade",IF(OR(H893=4,H893=5),_xlfn.XLOOKUP(I893,'Renewal Rates'!$A$22:$A$27,'Renewal Rates'!$B$22:$B$27,'Renewal Rates'!$B$27,0),'Renewal Rates'!$F$7),IF(A893="Renewal",100%,0%))</f>
        <v>0.21</v>
      </c>
      <c r="U893" s="68">
        <f t="shared" si="14"/>
        <v>90262.62</v>
      </c>
    </row>
    <row r="894" spans="1:21" s="41" customFormat="1" ht="13.8" x14ac:dyDescent="0.3">
      <c r="A894" s="115" t="s">
        <v>21</v>
      </c>
      <c r="B894" s="116">
        <v>2000883247</v>
      </c>
      <c r="C894" s="116">
        <v>5.0090000000000003</v>
      </c>
      <c r="D894" s="117">
        <v>15.3</v>
      </c>
      <c r="E894" s="117"/>
      <c r="F894" s="117">
        <v>375</v>
      </c>
      <c r="G894" s="117">
        <v>1125</v>
      </c>
      <c r="H894" s="123"/>
      <c r="I894" s="117" t="s">
        <v>122</v>
      </c>
      <c r="J894" s="115">
        <v>387</v>
      </c>
      <c r="K894" s="115" t="s">
        <v>23</v>
      </c>
      <c r="L894" s="117" t="s">
        <v>24</v>
      </c>
      <c r="M894" s="66">
        <v>145001</v>
      </c>
      <c r="N894" s="66">
        <v>9465</v>
      </c>
      <c r="O894" s="66">
        <v>49300</v>
      </c>
      <c r="P894" s="66">
        <v>194301</v>
      </c>
      <c r="Q894" s="67">
        <v>0.4</v>
      </c>
      <c r="R894" s="66">
        <v>77720</v>
      </c>
      <c r="S894" s="66">
        <v>272021</v>
      </c>
      <c r="T894" s="106">
        <f>IF(A894="Upgrade",IF(OR(H894=4,H894=5),_xlfn.XLOOKUP(I894,'Renewal Rates'!$A$22:$A$27,'Renewal Rates'!$B$22:$B$27,'Renewal Rates'!$B$27,0),'Renewal Rates'!$F$7),IF(A894="Renewal",100%,0%))</f>
        <v>2.6599999999999999E-2</v>
      </c>
      <c r="U894" s="68">
        <f t="shared" si="14"/>
        <v>7235.7585999999992</v>
      </c>
    </row>
    <row r="895" spans="1:21" s="41" customFormat="1" ht="13.8" x14ac:dyDescent="0.3">
      <c r="A895" s="115" t="s">
        <v>21</v>
      </c>
      <c r="B895" s="116">
        <v>2000861926</v>
      </c>
      <c r="C895" s="116">
        <v>5.0090000000000003</v>
      </c>
      <c r="D895" s="117">
        <v>38.700000000000003</v>
      </c>
      <c r="E895" s="117"/>
      <c r="F895" s="117">
        <v>300</v>
      </c>
      <c r="G895" s="117">
        <v>1125</v>
      </c>
      <c r="H895" s="123"/>
      <c r="I895" s="117" t="s">
        <v>122</v>
      </c>
      <c r="J895" s="115">
        <v>387</v>
      </c>
      <c r="K895" s="115" t="s">
        <v>23</v>
      </c>
      <c r="L895" s="117" t="s">
        <v>24</v>
      </c>
      <c r="M895" s="66">
        <v>286942</v>
      </c>
      <c r="N895" s="66">
        <v>7417</v>
      </c>
      <c r="O895" s="66">
        <v>97560</v>
      </c>
      <c r="P895" s="66">
        <v>384503</v>
      </c>
      <c r="Q895" s="67">
        <v>0.4</v>
      </c>
      <c r="R895" s="66">
        <v>153801</v>
      </c>
      <c r="S895" s="66">
        <v>538304</v>
      </c>
      <c r="T895" s="106">
        <f>IF(A895="Upgrade",IF(OR(H895=4,H895=5),_xlfn.XLOOKUP(I895,'Renewal Rates'!$A$22:$A$27,'Renewal Rates'!$B$22:$B$27,'Renewal Rates'!$B$27,0),'Renewal Rates'!$F$7),IF(A895="Renewal",100%,0%))</f>
        <v>2.6599999999999999E-2</v>
      </c>
      <c r="U895" s="68">
        <f t="shared" si="14"/>
        <v>14318.886399999999</v>
      </c>
    </row>
    <row r="896" spans="1:21" s="41" customFormat="1" ht="13.8" x14ac:dyDescent="0.3">
      <c r="A896" s="115" t="s">
        <v>21</v>
      </c>
      <c r="B896" s="116">
        <v>2000853916</v>
      </c>
      <c r="C896" s="116">
        <v>5.0090000000000003</v>
      </c>
      <c r="D896" s="117">
        <v>6.5</v>
      </c>
      <c r="E896" s="117"/>
      <c r="F896" s="117">
        <v>300</v>
      </c>
      <c r="G896" s="117">
        <v>1125</v>
      </c>
      <c r="H896" s="123"/>
      <c r="I896" s="117" t="s">
        <v>122</v>
      </c>
      <c r="J896" s="115">
        <v>387</v>
      </c>
      <c r="K896" s="115" t="s">
        <v>23</v>
      </c>
      <c r="L896" s="117" t="s">
        <v>24</v>
      </c>
      <c r="M896" s="66">
        <v>102986</v>
      </c>
      <c r="N896" s="66">
        <v>15851</v>
      </c>
      <c r="O896" s="66">
        <v>35015</v>
      </c>
      <c r="P896" s="66">
        <v>138001</v>
      </c>
      <c r="Q896" s="67">
        <v>0.4</v>
      </c>
      <c r="R896" s="66">
        <v>55200</v>
      </c>
      <c r="S896" s="66">
        <v>193201</v>
      </c>
      <c r="T896" s="106">
        <f>IF(A896="Upgrade",IF(OR(H896=4,H896=5),_xlfn.XLOOKUP(I896,'Renewal Rates'!$A$22:$A$27,'Renewal Rates'!$B$22:$B$27,'Renewal Rates'!$B$27,0),'Renewal Rates'!$F$7),IF(A896="Renewal",100%,0%))</f>
        <v>2.6599999999999999E-2</v>
      </c>
      <c r="U896" s="68">
        <f t="shared" si="14"/>
        <v>5139.1466</v>
      </c>
    </row>
    <row r="897" spans="1:21" s="41" customFormat="1" ht="13.8" x14ac:dyDescent="0.3">
      <c r="A897" s="115" t="s">
        <v>21</v>
      </c>
      <c r="B897" s="116">
        <v>2000555391</v>
      </c>
      <c r="C897" s="116">
        <v>5.0090000000000003</v>
      </c>
      <c r="D897" s="117">
        <v>97.9</v>
      </c>
      <c r="E897" s="117"/>
      <c r="F897" s="117">
        <v>300</v>
      </c>
      <c r="G897" s="117">
        <v>1125</v>
      </c>
      <c r="H897" s="123"/>
      <c r="I897" s="117" t="s">
        <v>122</v>
      </c>
      <c r="J897" s="115">
        <v>387</v>
      </c>
      <c r="K897" s="115" t="s">
        <v>23</v>
      </c>
      <c r="L897" s="117" t="s">
        <v>24</v>
      </c>
      <c r="M897" s="66">
        <v>658637</v>
      </c>
      <c r="N897" s="66">
        <v>6727</v>
      </c>
      <c r="O897" s="66">
        <v>223937</v>
      </c>
      <c r="P897" s="66">
        <v>882574</v>
      </c>
      <c r="Q897" s="67">
        <v>0.4</v>
      </c>
      <c r="R897" s="66">
        <v>353029</v>
      </c>
      <c r="S897" s="66">
        <v>1235603</v>
      </c>
      <c r="T897" s="106">
        <f>IF(A897="Upgrade",IF(OR(H897=4,H897=5),_xlfn.XLOOKUP(I897,'Renewal Rates'!$A$22:$A$27,'Renewal Rates'!$B$22:$B$27,'Renewal Rates'!$B$27,0),'Renewal Rates'!$F$7),IF(A897="Renewal",100%,0%))</f>
        <v>2.6599999999999999E-2</v>
      </c>
      <c r="U897" s="68">
        <f t="shared" si="14"/>
        <v>32867.039799999999</v>
      </c>
    </row>
    <row r="898" spans="1:21" s="41" customFormat="1" ht="13.8" x14ac:dyDescent="0.3">
      <c r="A898" s="115" t="s">
        <v>21</v>
      </c>
      <c r="B898" s="116">
        <v>2000742972</v>
      </c>
      <c r="C898" s="116">
        <v>5.0019999999999998</v>
      </c>
      <c r="D898" s="117">
        <v>24.5</v>
      </c>
      <c r="E898" s="117"/>
      <c r="F898" s="117">
        <v>300</v>
      </c>
      <c r="G898" s="117">
        <v>900</v>
      </c>
      <c r="H898" s="123"/>
      <c r="I898" s="117" t="s">
        <v>122</v>
      </c>
      <c r="J898" s="115">
        <v>387</v>
      </c>
      <c r="K898" s="115" t="s">
        <v>23</v>
      </c>
      <c r="L898" s="117" t="s">
        <v>24</v>
      </c>
      <c r="M898" s="66">
        <v>161383</v>
      </c>
      <c r="N898" s="66">
        <v>6575</v>
      </c>
      <c r="O898" s="66">
        <v>54870</v>
      </c>
      <c r="P898" s="66">
        <v>216254</v>
      </c>
      <c r="Q898" s="67">
        <v>0.4</v>
      </c>
      <c r="R898" s="66">
        <v>86501</v>
      </c>
      <c r="S898" s="66">
        <v>302755</v>
      </c>
      <c r="T898" s="106">
        <f>IF(A898="Upgrade",IF(OR(H898=4,H898=5),_xlfn.XLOOKUP(I898,'Renewal Rates'!$A$22:$A$27,'Renewal Rates'!$B$22:$B$27,'Renewal Rates'!$B$27,0),'Renewal Rates'!$F$7),IF(A898="Renewal",100%,0%))</f>
        <v>2.6599999999999999E-2</v>
      </c>
      <c r="U898" s="68">
        <f t="shared" si="14"/>
        <v>8053.2829999999994</v>
      </c>
    </row>
    <row r="899" spans="1:21" s="41" customFormat="1" ht="13.8" x14ac:dyDescent="0.3">
      <c r="A899" s="115" t="s">
        <v>21</v>
      </c>
      <c r="B899" s="116">
        <v>2000081960</v>
      </c>
      <c r="C899" s="116">
        <v>5.0019999999999998</v>
      </c>
      <c r="D899" s="117">
        <v>72</v>
      </c>
      <c r="E899" s="117"/>
      <c r="F899" s="117">
        <v>300</v>
      </c>
      <c r="G899" s="117">
        <v>900</v>
      </c>
      <c r="H899" s="123"/>
      <c r="I899" s="117" t="s">
        <v>122</v>
      </c>
      <c r="J899" s="115">
        <v>387</v>
      </c>
      <c r="K899" s="115" t="s">
        <v>23</v>
      </c>
      <c r="L899" s="117" t="s">
        <v>24</v>
      </c>
      <c r="M899" s="66">
        <v>401280</v>
      </c>
      <c r="N899" s="66">
        <v>5571</v>
      </c>
      <c r="O899" s="66">
        <v>136435</v>
      </c>
      <c r="P899" s="66">
        <v>537716</v>
      </c>
      <c r="Q899" s="67">
        <v>0.4</v>
      </c>
      <c r="R899" s="66">
        <v>215086</v>
      </c>
      <c r="S899" s="66">
        <v>752802</v>
      </c>
      <c r="T899" s="106">
        <f>IF(A899="Upgrade",IF(OR(H899=4,H899=5),_xlfn.XLOOKUP(I899,'Renewal Rates'!$A$22:$A$27,'Renewal Rates'!$B$22:$B$27,'Renewal Rates'!$B$27,0),'Renewal Rates'!$F$7),IF(A899="Renewal",100%,0%))</f>
        <v>2.6599999999999999E-2</v>
      </c>
      <c r="U899" s="68">
        <f t="shared" si="14"/>
        <v>20024.533199999998</v>
      </c>
    </row>
    <row r="900" spans="1:21" s="41" customFormat="1" ht="13.8" x14ac:dyDescent="0.3">
      <c r="A900" s="115" t="s">
        <v>21</v>
      </c>
      <c r="B900" s="116">
        <v>2000598869</v>
      </c>
      <c r="C900" s="116">
        <v>5.0019999999999998</v>
      </c>
      <c r="D900" s="117">
        <v>29.9</v>
      </c>
      <c r="E900" s="117"/>
      <c r="F900" s="117">
        <v>225</v>
      </c>
      <c r="G900" s="117">
        <v>900</v>
      </c>
      <c r="H900" s="123"/>
      <c r="I900" s="117" t="s">
        <v>122</v>
      </c>
      <c r="J900" s="115">
        <v>387</v>
      </c>
      <c r="K900" s="115" t="s">
        <v>23</v>
      </c>
      <c r="L900" s="117" t="s">
        <v>24</v>
      </c>
      <c r="M900" s="66">
        <v>170476</v>
      </c>
      <c r="N900" s="66">
        <v>5696</v>
      </c>
      <c r="O900" s="66">
        <v>57962</v>
      </c>
      <c r="P900" s="66">
        <v>228438</v>
      </c>
      <c r="Q900" s="67">
        <v>0.4</v>
      </c>
      <c r="R900" s="66">
        <v>91375</v>
      </c>
      <c r="S900" s="66">
        <v>319813</v>
      </c>
      <c r="T900" s="106">
        <f>IF(A900="Upgrade",IF(OR(H900=4,H900=5),_xlfn.XLOOKUP(I900,'Renewal Rates'!$A$22:$A$27,'Renewal Rates'!$B$22:$B$27,'Renewal Rates'!$B$27,0),'Renewal Rates'!$F$7),IF(A900="Renewal",100%,0%))</f>
        <v>2.6599999999999999E-2</v>
      </c>
      <c r="U900" s="68">
        <f t="shared" si="14"/>
        <v>8507.0257999999994</v>
      </c>
    </row>
    <row r="901" spans="1:21" s="41" customFormat="1" ht="13.8" x14ac:dyDescent="0.3">
      <c r="A901" s="115" t="s">
        <v>21</v>
      </c>
      <c r="B901" s="116">
        <v>2000741797</v>
      </c>
      <c r="C901" s="116">
        <v>5.0019999999999998</v>
      </c>
      <c r="D901" s="117">
        <v>67.3</v>
      </c>
      <c r="E901" s="117"/>
      <c r="F901" s="117">
        <v>225</v>
      </c>
      <c r="G901" s="117">
        <v>900</v>
      </c>
      <c r="H901" s="123"/>
      <c r="I901" s="117" t="s">
        <v>122</v>
      </c>
      <c r="J901" s="115">
        <v>387</v>
      </c>
      <c r="K901" s="115" t="s">
        <v>23</v>
      </c>
      <c r="L901" s="117" t="s">
        <v>24</v>
      </c>
      <c r="M901" s="66">
        <v>370681</v>
      </c>
      <c r="N901" s="66">
        <v>5504</v>
      </c>
      <c r="O901" s="66">
        <v>126031</v>
      </c>
      <c r="P901" s="66">
        <v>496712</v>
      </c>
      <c r="Q901" s="67">
        <v>0.4</v>
      </c>
      <c r="R901" s="66">
        <v>198685</v>
      </c>
      <c r="S901" s="66">
        <v>695397</v>
      </c>
      <c r="T901" s="106">
        <f>IF(A901="Upgrade",IF(OR(H901=4,H901=5),_xlfn.XLOOKUP(I901,'Renewal Rates'!$A$22:$A$27,'Renewal Rates'!$B$22:$B$27,'Renewal Rates'!$B$27,0),'Renewal Rates'!$F$7),IF(A901="Renewal",100%,0%))</f>
        <v>2.6599999999999999E-2</v>
      </c>
      <c r="U901" s="68">
        <f t="shared" si="14"/>
        <v>18497.5602</v>
      </c>
    </row>
    <row r="902" spans="1:21" s="41" customFormat="1" ht="13.8" x14ac:dyDescent="0.3">
      <c r="A902" s="115" t="s">
        <v>21</v>
      </c>
      <c r="B902" s="116">
        <v>2000904239</v>
      </c>
      <c r="C902" s="116">
        <v>5.008</v>
      </c>
      <c r="D902" s="117">
        <v>67.3</v>
      </c>
      <c r="E902" s="117"/>
      <c r="F902" s="117">
        <v>225</v>
      </c>
      <c r="G902" s="117">
        <v>750</v>
      </c>
      <c r="H902" s="123"/>
      <c r="I902" s="117" t="s">
        <v>122</v>
      </c>
      <c r="J902" s="115">
        <v>387</v>
      </c>
      <c r="K902" s="115" t="s">
        <v>23</v>
      </c>
      <c r="L902" s="117" t="s">
        <v>24</v>
      </c>
      <c r="M902" s="66">
        <v>301647</v>
      </c>
      <c r="N902" s="66">
        <v>4480</v>
      </c>
      <c r="O902" s="66">
        <v>102560</v>
      </c>
      <c r="P902" s="66">
        <v>404207</v>
      </c>
      <c r="Q902" s="67">
        <v>0.4</v>
      </c>
      <c r="R902" s="66">
        <v>161683</v>
      </c>
      <c r="S902" s="66">
        <v>565890</v>
      </c>
      <c r="T902" s="106">
        <f>IF(A902="Upgrade",IF(OR(H902=4,H902=5),_xlfn.XLOOKUP(I902,'Renewal Rates'!$A$22:$A$27,'Renewal Rates'!$B$22:$B$27,'Renewal Rates'!$B$27,0),'Renewal Rates'!$F$7),IF(A902="Renewal",100%,0%))</f>
        <v>2.6599999999999999E-2</v>
      </c>
      <c r="U902" s="68">
        <f t="shared" si="14"/>
        <v>15052.673999999999</v>
      </c>
    </row>
    <row r="903" spans="1:21" s="41" customFormat="1" ht="13.8" x14ac:dyDescent="0.3">
      <c r="A903" s="115" t="s">
        <v>21</v>
      </c>
      <c r="B903" s="116">
        <v>2000595354</v>
      </c>
      <c r="C903" s="116">
        <v>5.008</v>
      </c>
      <c r="D903" s="117">
        <v>38</v>
      </c>
      <c r="E903" s="117"/>
      <c r="F903" s="117">
        <v>225</v>
      </c>
      <c r="G903" s="117">
        <v>750</v>
      </c>
      <c r="H903" s="123">
        <v>4</v>
      </c>
      <c r="I903" s="117">
        <v>2</v>
      </c>
      <c r="J903" s="115">
        <v>387</v>
      </c>
      <c r="K903" s="115" t="s">
        <v>23</v>
      </c>
      <c r="L903" s="117" t="s">
        <v>24</v>
      </c>
      <c r="M903" s="66">
        <v>178981</v>
      </c>
      <c r="N903" s="66">
        <v>4709</v>
      </c>
      <c r="O903" s="66">
        <v>60853</v>
      </c>
      <c r="P903" s="66">
        <v>239834</v>
      </c>
      <c r="Q903" s="67">
        <v>0.4</v>
      </c>
      <c r="R903" s="66">
        <v>95934</v>
      </c>
      <c r="S903" s="66">
        <v>335768</v>
      </c>
      <c r="T903" s="106">
        <f>IF(A903="Upgrade",IF(OR(H903=4,H903=5),_xlfn.XLOOKUP(I903,'Renewal Rates'!$A$22:$A$27,'Renewal Rates'!$B$22:$B$27,'Renewal Rates'!$B$27,0),'Renewal Rates'!$F$7),IF(A903="Renewal",100%,0%))</f>
        <v>0</v>
      </c>
      <c r="U903" s="68">
        <f t="shared" si="14"/>
        <v>0</v>
      </c>
    </row>
    <row r="904" spans="1:21" s="41" customFormat="1" ht="13.8" x14ac:dyDescent="0.3">
      <c r="A904" s="115" t="s">
        <v>21</v>
      </c>
      <c r="B904" s="116">
        <v>2000497054</v>
      </c>
      <c r="C904" s="116">
        <v>5.008</v>
      </c>
      <c r="D904" s="117">
        <v>8.3000000000000007</v>
      </c>
      <c r="E904" s="117"/>
      <c r="F904" s="117">
        <v>300</v>
      </c>
      <c r="G904" s="117">
        <v>750</v>
      </c>
      <c r="H904" s="123"/>
      <c r="I904" s="117" t="s">
        <v>122</v>
      </c>
      <c r="J904" s="115">
        <v>387</v>
      </c>
      <c r="K904" s="115" t="s">
        <v>23</v>
      </c>
      <c r="L904" s="117" t="s">
        <v>24</v>
      </c>
      <c r="M904" s="66">
        <v>60876</v>
      </c>
      <c r="N904" s="66">
        <v>7306</v>
      </c>
      <c r="O904" s="66">
        <v>20698</v>
      </c>
      <c r="P904" s="66">
        <v>81574</v>
      </c>
      <c r="Q904" s="67">
        <v>0.4</v>
      </c>
      <c r="R904" s="66">
        <v>32630</v>
      </c>
      <c r="S904" s="66">
        <v>114203</v>
      </c>
      <c r="T904" s="106">
        <f>IF(A904="Upgrade",IF(OR(H904=4,H904=5),_xlfn.XLOOKUP(I904,'Renewal Rates'!$A$22:$A$27,'Renewal Rates'!$B$22:$B$27,'Renewal Rates'!$B$27,0),'Renewal Rates'!$F$7),IF(A904="Renewal",100%,0%))</f>
        <v>2.6599999999999999E-2</v>
      </c>
      <c r="U904" s="68">
        <f t="shared" si="14"/>
        <v>3037.7997999999998</v>
      </c>
    </row>
    <row r="905" spans="1:21" s="41" customFormat="1" ht="13.8" x14ac:dyDescent="0.3">
      <c r="A905" s="115" t="s">
        <v>21</v>
      </c>
      <c r="B905" s="116">
        <v>2000494846</v>
      </c>
      <c r="C905" s="116">
        <v>5.008</v>
      </c>
      <c r="D905" s="117">
        <v>16.100000000000001</v>
      </c>
      <c r="E905" s="117"/>
      <c r="F905" s="117">
        <v>450</v>
      </c>
      <c r="G905" s="117">
        <v>750</v>
      </c>
      <c r="H905" s="123">
        <v>4</v>
      </c>
      <c r="I905" s="117"/>
      <c r="J905" s="115">
        <v>387</v>
      </c>
      <c r="K905" s="115" t="s">
        <v>23</v>
      </c>
      <c r="L905" s="117" t="s">
        <v>24</v>
      </c>
      <c r="M905" s="66">
        <v>90813</v>
      </c>
      <c r="N905" s="66">
        <v>5657</v>
      </c>
      <c r="O905" s="66">
        <v>30876</v>
      </c>
      <c r="P905" s="66">
        <v>121689</v>
      </c>
      <c r="Q905" s="67">
        <v>0.4</v>
      </c>
      <c r="R905" s="66">
        <v>48676</v>
      </c>
      <c r="S905" s="66">
        <v>170364</v>
      </c>
      <c r="T905" s="106">
        <f>IF(A905="Upgrade",IF(OR(H905=4,H905=5),_xlfn.XLOOKUP(I905,'Renewal Rates'!$A$22:$A$27,'Renewal Rates'!$B$22:$B$27,'Renewal Rates'!$B$27,0),'Renewal Rates'!$F$7),IF(A905="Renewal",100%,0%))</f>
        <v>0.116578</v>
      </c>
      <c r="U905" s="68">
        <f t="shared" si="14"/>
        <v>19860.694392000001</v>
      </c>
    </row>
    <row r="906" spans="1:21" s="41" customFormat="1" ht="13.8" x14ac:dyDescent="0.3">
      <c r="A906" s="115" t="s">
        <v>21</v>
      </c>
      <c r="B906" s="116">
        <v>2000488050</v>
      </c>
      <c r="C906" s="116">
        <v>5.008</v>
      </c>
      <c r="D906" s="117">
        <v>11.1</v>
      </c>
      <c r="E906" s="117"/>
      <c r="F906" s="117">
        <v>450</v>
      </c>
      <c r="G906" s="117">
        <v>750</v>
      </c>
      <c r="H906" s="123"/>
      <c r="I906" s="117" t="s">
        <v>122</v>
      </c>
      <c r="J906" s="115">
        <v>387</v>
      </c>
      <c r="K906" s="115" t="s">
        <v>23</v>
      </c>
      <c r="L906" s="117" t="s">
        <v>24</v>
      </c>
      <c r="M906" s="66">
        <v>84057</v>
      </c>
      <c r="N906" s="66">
        <v>7583</v>
      </c>
      <c r="O906" s="66">
        <v>28579</v>
      </c>
      <c r="P906" s="66">
        <v>112636</v>
      </c>
      <c r="Q906" s="67">
        <v>0.4</v>
      </c>
      <c r="R906" s="66">
        <v>45054</v>
      </c>
      <c r="S906" s="66">
        <v>157690</v>
      </c>
      <c r="T906" s="106">
        <f>IF(A906="Upgrade",IF(OR(H906=4,H906=5),_xlfn.XLOOKUP(I906,'Renewal Rates'!$A$22:$A$27,'Renewal Rates'!$B$22:$B$27,'Renewal Rates'!$B$27,0),'Renewal Rates'!$F$7),IF(A906="Renewal",100%,0%))</f>
        <v>2.6599999999999999E-2</v>
      </c>
      <c r="U906" s="68">
        <f t="shared" si="14"/>
        <v>4194.5540000000001</v>
      </c>
    </row>
    <row r="907" spans="1:21" s="41" customFormat="1" ht="13.8" x14ac:dyDescent="0.3">
      <c r="A907" s="115" t="s">
        <v>21</v>
      </c>
      <c r="B907" s="116">
        <v>2000085776</v>
      </c>
      <c r="C907" s="116">
        <v>5.008</v>
      </c>
      <c r="D907" s="117">
        <v>6.3</v>
      </c>
      <c r="E907" s="117"/>
      <c r="F907" s="117">
        <v>300</v>
      </c>
      <c r="G907" s="117">
        <v>750</v>
      </c>
      <c r="H907" s="123">
        <v>5</v>
      </c>
      <c r="I907" s="117"/>
      <c r="J907" s="115">
        <v>387</v>
      </c>
      <c r="K907" s="115" t="s">
        <v>23</v>
      </c>
      <c r="L907" s="117" t="s">
        <v>24</v>
      </c>
      <c r="M907" s="66">
        <v>58142</v>
      </c>
      <c r="N907" s="66">
        <v>9198</v>
      </c>
      <c r="O907" s="66">
        <v>19768</v>
      </c>
      <c r="P907" s="66">
        <v>77910</v>
      </c>
      <c r="Q907" s="67">
        <v>0.4</v>
      </c>
      <c r="R907" s="66">
        <v>31164</v>
      </c>
      <c r="S907" s="66">
        <v>109074</v>
      </c>
      <c r="T907" s="106">
        <f>IF(A907="Upgrade",IF(OR(H907=4,H907=5),_xlfn.XLOOKUP(I907,'Renewal Rates'!$A$22:$A$27,'Renewal Rates'!$B$22:$B$27,'Renewal Rates'!$B$27,0),'Renewal Rates'!$F$7),IF(A907="Renewal",100%,0%))</f>
        <v>0.116578</v>
      </c>
      <c r="U907" s="68">
        <f t="shared" si="14"/>
        <v>12715.628772</v>
      </c>
    </row>
    <row r="908" spans="1:21" s="41" customFormat="1" ht="13.8" x14ac:dyDescent="0.3">
      <c r="A908" s="115" t="s">
        <v>21</v>
      </c>
      <c r="B908" s="116">
        <v>2000540221</v>
      </c>
      <c r="C908" s="116">
        <v>5.008</v>
      </c>
      <c r="D908" s="117">
        <v>19.100000000000001</v>
      </c>
      <c r="E908" s="117"/>
      <c r="F908" s="117">
        <v>300</v>
      </c>
      <c r="G908" s="117">
        <v>750</v>
      </c>
      <c r="H908" s="123"/>
      <c r="I908" s="117" t="s">
        <v>122</v>
      </c>
      <c r="J908" s="115">
        <v>387</v>
      </c>
      <c r="K908" s="115" t="s">
        <v>23</v>
      </c>
      <c r="L908" s="117" t="s">
        <v>24</v>
      </c>
      <c r="M908" s="66">
        <v>114331</v>
      </c>
      <c r="N908" s="66">
        <v>6000</v>
      </c>
      <c r="O908" s="66">
        <v>38872</v>
      </c>
      <c r="P908" s="66">
        <v>153203</v>
      </c>
      <c r="Q908" s="67">
        <v>0.4</v>
      </c>
      <c r="R908" s="66">
        <v>61281</v>
      </c>
      <c r="S908" s="66">
        <v>214484</v>
      </c>
      <c r="T908" s="106">
        <f>IF(A908="Upgrade",IF(OR(H908=4,H908=5),_xlfn.XLOOKUP(I908,'Renewal Rates'!$A$22:$A$27,'Renewal Rates'!$B$22:$B$27,'Renewal Rates'!$B$27,0),'Renewal Rates'!$F$7),IF(A908="Renewal",100%,0%))</f>
        <v>2.6599999999999999E-2</v>
      </c>
      <c r="U908" s="68">
        <f t="shared" si="14"/>
        <v>5705.2743999999993</v>
      </c>
    </row>
    <row r="909" spans="1:21" s="41" customFormat="1" ht="13.8" x14ac:dyDescent="0.3">
      <c r="A909" s="115" t="s">
        <v>25</v>
      </c>
      <c r="B909" s="116" t="s">
        <v>22</v>
      </c>
      <c r="C909" s="116">
        <v>3.0009999999999999</v>
      </c>
      <c r="D909" s="117"/>
      <c r="E909" s="117">
        <v>117.8</v>
      </c>
      <c r="F909" s="117"/>
      <c r="G909" s="117">
        <v>675</v>
      </c>
      <c r="H909" s="123"/>
      <c r="I909" s="117" t="s">
        <v>122</v>
      </c>
      <c r="J909" s="115">
        <v>386</v>
      </c>
      <c r="K909" s="115" t="s">
        <v>23</v>
      </c>
      <c r="L909" s="117" t="s">
        <v>24</v>
      </c>
      <c r="M909" s="66">
        <v>454662</v>
      </c>
      <c r="N909" s="66">
        <v>3860</v>
      </c>
      <c r="O909" s="66">
        <v>154585</v>
      </c>
      <c r="P909" s="66">
        <v>609247</v>
      </c>
      <c r="Q909" s="67">
        <v>0.4</v>
      </c>
      <c r="R909" s="66">
        <v>243699</v>
      </c>
      <c r="S909" s="66">
        <v>852945</v>
      </c>
      <c r="T909" s="106">
        <f>IF(A909="Upgrade",IF(OR(H909=4,H909=5),_xlfn.XLOOKUP(I909,'Renewal Rates'!$A$22:$A$27,'Renewal Rates'!$B$22:$B$27,'Renewal Rates'!$B$27,0),'Renewal Rates'!$F$7),IF(A909="Renewal",100%,0%))</f>
        <v>0</v>
      </c>
      <c r="U909" s="68">
        <f t="shared" si="14"/>
        <v>0</v>
      </c>
    </row>
    <row r="910" spans="1:21" s="41" customFormat="1" ht="13.8" x14ac:dyDescent="0.3">
      <c r="A910" s="115" t="s">
        <v>25</v>
      </c>
      <c r="B910" s="116" t="s">
        <v>22</v>
      </c>
      <c r="C910" s="116">
        <v>5.0010000000000003</v>
      </c>
      <c r="D910" s="117"/>
      <c r="E910" s="117">
        <v>97.5</v>
      </c>
      <c r="F910" s="117"/>
      <c r="G910" s="117">
        <v>450</v>
      </c>
      <c r="H910" s="123"/>
      <c r="I910" s="117" t="s">
        <v>122</v>
      </c>
      <c r="J910" s="115">
        <v>387</v>
      </c>
      <c r="K910" s="115" t="s">
        <v>23</v>
      </c>
      <c r="L910" s="117" t="s">
        <v>24</v>
      </c>
      <c r="M910" s="66">
        <v>266200</v>
      </c>
      <c r="N910" s="66">
        <v>2731</v>
      </c>
      <c r="O910" s="66">
        <v>90508</v>
      </c>
      <c r="P910" s="66">
        <v>356708</v>
      </c>
      <c r="Q910" s="67">
        <v>0.4</v>
      </c>
      <c r="R910" s="66">
        <v>142683</v>
      </c>
      <c r="S910" s="66">
        <v>499391</v>
      </c>
      <c r="T910" s="106">
        <f>IF(A910="Upgrade",IF(OR(H910=4,H910=5),_xlfn.XLOOKUP(I910,'Renewal Rates'!$A$22:$A$27,'Renewal Rates'!$B$22:$B$27,'Renewal Rates'!$B$27,0),'Renewal Rates'!$F$7),IF(A910="Renewal",100%,0%))</f>
        <v>0</v>
      </c>
      <c r="U910" s="68">
        <f t="shared" si="14"/>
        <v>0</v>
      </c>
    </row>
    <row r="911" spans="1:21" s="41" customFormat="1" ht="13.8" x14ac:dyDescent="0.3">
      <c r="A911" s="115" t="s">
        <v>21</v>
      </c>
      <c r="B911" s="116">
        <v>2000778511</v>
      </c>
      <c r="C911" s="116">
        <v>3.0430000000000001</v>
      </c>
      <c r="D911" s="117">
        <v>69.7</v>
      </c>
      <c r="E911" s="117"/>
      <c r="F911" s="117">
        <v>450</v>
      </c>
      <c r="G911" s="117">
        <v>675</v>
      </c>
      <c r="H911" s="123"/>
      <c r="I911" s="117" t="s">
        <v>122</v>
      </c>
      <c r="J911" s="115">
        <v>387</v>
      </c>
      <c r="K911" s="115" t="s">
        <v>23</v>
      </c>
      <c r="L911" s="117" t="s">
        <v>24</v>
      </c>
      <c r="M911" s="66">
        <v>298436</v>
      </c>
      <c r="N911" s="66">
        <v>4279</v>
      </c>
      <c r="O911" s="66">
        <v>101468</v>
      </c>
      <c r="P911" s="66">
        <v>399905</v>
      </c>
      <c r="Q911" s="67">
        <v>0.4</v>
      </c>
      <c r="R911" s="66">
        <v>159962</v>
      </c>
      <c r="S911" s="66">
        <v>559867</v>
      </c>
      <c r="T911" s="106">
        <f>IF(A911="Upgrade",IF(OR(H911=4,H911=5),_xlfn.XLOOKUP(I911,'Renewal Rates'!$A$22:$A$27,'Renewal Rates'!$B$22:$B$27,'Renewal Rates'!$B$27,0),'Renewal Rates'!$F$7),IF(A911="Renewal",100%,0%))</f>
        <v>2.6599999999999999E-2</v>
      </c>
      <c r="U911" s="68">
        <f t="shared" si="14"/>
        <v>14892.4622</v>
      </c>
    </row>
    <row r="912" spans="1:21" s="41" customFormat="1" ht="13.8" x14ac:dyDescent="0.3">
      <c r="A912" s="115" t="s">
        <v>21</v>
      </c>
      <c r="B912" s="116">
        <v>2000137853</v>
      </c>
      <c r="C912" s="116">
        <v>3.0430000000000001</v>
      </c>
      <c r="D912" s="117">
        <v>6.8</v>
      </c>
      <c r="E912" s="117"/>
      <c r="F912" s="117">
        <v>450</v>
      </c>
      <c r="G912" s="117">
        <v>675</v>
      </c>
      <c r="H912" s="123"/>
      <c r="I912" s="117" t="s">
        <v>122</v>
      </c>
      <c r="J912" s="115">
        <v>387</v>
      </c>
      <c r="K912" s="115" t="s">
        <v>23</v>
      </c>
      <c r="L912" s="117" t="s">
        <v>24</v>
      </c>
      <c r="M912" s="66">
        <v>56306</v>
      </c>
      <c r="N912" s="66">
        <v>10705</v>
      </c>
      <c r="O912" s="66">
        <v>19144</v>
      </c>
      <c r="P912" s="66">
        <v>75450</v>
      </c>
      <c r="Q912" s="67">
        <v>0.4</v>
      </c>
      <c r="R912" s="66">
        <v>30180</v>
      </c>
      <c r="S912" s="66">
        <v>105631</v>
      </c>
      <c r="T912" s="106">
        <f>IF(A912="Upgrade",IF(OR(H912=4,H912=5),_xlfn.XLOOKUP(I912,'Renewal Rates'!$A$22:$A$27,'Renewal Rates'!$B$22:$B$27,'Renewal Rates'!$B$27,0),'Renewal Rates'!$F$7),IF(A912="Renewal",100%,0%))</f>
        <v>2.6599999999999999E-2</v>
      </c>
      <c r="U912" s="68">
        <f t="shared" si="14"/>
        <v>2809.7846</v>
      </c>
    </row>
    <row r="913" spans="1:21" s="41" customFormat="1" ht="13.8" x14ac:dyDescent="0.3">
      <c r="A913" s="115" t="s">
        <v>21</v>
      </c>
      <c r="B913" s="116">
        <v>2000869637</v>
      </c>
      <c r="C913" s="116">
        <v>3.0430000000000001</v>
      </c>
      <c r="D913" s="117">
        <v>5.3</v>
      </c>
      <c r="E913" s="117"/>
      <c r="F913" s="117">
        <v>450</v>
      </c>
      <c r="G913" s="117">
        <v>675</v>
      </c>
      <c r="H913" s="123"/>
      <c r="I913" s="117" t="s">
        <v>122</v>
      </c>
      <c r="J913" s="115">
        <v>387</v>
      </c>
      <c r="K913" s="115" t="s">
        <v>23</v>
      </c>
      <c r="L913" s="117" t="s">
        <v>24</v>
      </c>
      <c r="M913" s="66">
        <v>56306</v>
      </c>
      <c r="N913" s="66">
        <v>10705</v>
      </c>
      <c r="O913" s="66">
        <v>19144</v>
      </c>
      <c r="P913" s="66">
        <v>75450</v>
      </c>
      <c r="Q913" s="67">
        <v>0.4</v>
      </c>
      <c r="R913" s="66">
        <v>30180</v>
      </c>
      <c r="S913" s="66">
        <v>105631</v>
      </c>
      <c r="T913" s="106">
        <f>IF(A913="Upgrade",IF(OR(H913=4,H913=5),_xlfn.XLOOKUP(I913,'Renewal Rates'!$A$22:$A$27,'Renewal Rates'!$B$22:$B$27,'Renewal Rates'!$B$27,0),'Renewal Rates'!$F$7),IF(A913="Renewal",100%,0%))</f>
        <v>2.6599999999999999E-2</v>
      </c>
      <c r="U913" s="68">
        <f t="shared" si="14"/>
        <v>2809.7846</v>
      </c>
    </row>
    <row r="914" spans="1:21" s="41" customFormat="1" ht="13.8" x14ac:dyDescent="0.3">
      <c r="A914" s="115" t="s">
        <v>21</v>
      </c>
      <c r="B914" s="116">
        <v>2000397128</v>
      </c>
      <c r="C914" s="116">
        <v>3.0430000000000001</v>
      </c>
      <c r="D914" s="117">
        <v>49.6</v>
      </c>
      <c r="E914" s="117"/>
      <c r="F914" s="117">
        <v>300</v>
      </c>
      <c r="G914" s="117">
        <v>675</v>
      </c>
      <c r="H914" s="123"/>
      <c r="I914" s="117" t="s">
        <v>122</v>
      </c>
      <c r="J914" s="115">
        <v>387</v>
      </c>
      <c r="K914" s="115" t="s">
        <v>23</v>
      </c>
      <c r="L914" s="117" t="s">
        <v>24</v>
      </c>
      <c r="M914" s="66">
        <v>58187</v>
      </c>
      <c r="N914" s="66">
        <v>8517</v>
      </c>
      <c r="O914" s="66">
        <v>19784</v>
      </c>
      <c r="P914" s="66">
        <v>77970</v>
      </c>
      <c r="Q914" s="67">
        <v>0.4</v>
      </c>
      <c r="R914" s="66">
        <v>31188</v>
      </c>
      <c r="S914" s="66">
        <v>109158</v>
      </c>
      <c r="T914" s="106">
        <f>IF(A914="Upgrade",IF(OR(H914=4,H914=5),_xlfn.XLOOKUP(I914,'Renewal Rates'!$A$22:$A$27,'Renewal Rates'!$B$22:$B$27,'Renewal Rates'!$B$27,0),'Renewal Rates'!$F$7),IF(A914="Renewal",100%,0%))</f>
        <v>2.6599999999999999E-2</v>
      </c>
      <c r="U914" s="68">
        <f t="shared" si="14"/>
        <v>2903.6027999999997</v>
      </c>
    </row>
    <row r="915" spans="1:21" s="41" customFormat="1" ht="13.8" x14ac:dyDescent="0.3">
      <c r="A915" s="115" t="s">
        <v>25</v>
      </c>
      <c r="B915" s="116" t="s">
        <v>22</v>
      </c>
      <c r="C915" s="116">
        <v>3.02</v>
      </c>
      <c r="D915" s="117"/>
      <c r="E915" s="117">
        <v>76.400000000000006</v>
      </c>
      <c r="F915" s="117"/>
      <c r="G915" s="117">
        <v>450</v>
      </c>
      <c r="H915" s="123"/>
      <c r="I915" s="117" t="s">
        <v>122</v>
      </c>
      <c r="J915" s="115">
        <v>387</v>
      </c>
      <c r="K915" s="115" t="s">
        <v>23</v>
      </c>
      <c r="L915" s="117" t="s">
        <v>24</v>
      </c>
      <c r="M915" s="66">
        <v>138029</v>
      </c>
      <c r="N915" s="66">
        <v>2785</v>
      </c>
      <c r="O915" s="66">
        <v>46930</v>
      </c>
      <c r="P915" s="66">
        <v>184959</v>
      </c>
      <c r="Q915" s="67">
        <v>0.4</v>
      </c>
      <c r="R915" s="66">
        <v>73984</v>
      </c>
      <c r="S915" s="66">
        <v>258942</v>
      </c>
      <c r="T915" s="106">
        <f>IF(A915="Upgrade",IF(OR(H915=4,H915=5),_xlfn.XLOOKUP(I915,'Renewal Rates'!$A$22:$A$27,'Renewal Rates'!$B$22:$B$27,'Renewal Rates'!$B$27,0),'Renewal Rates'!$F$7),IF(A915="Renewal",100%,0%))</f>
        <v>0</v>
      </c>
      <c r="U915" s="68">
        <f t="shared" si="14"/>
        <v>0</v>
      </c>
    </row>
    <row r="916" spans="1:21" s="41" customFormat="1" ht="13.8" x14ac:dyDescent="0.3">
      <c r="A916" s="115" t="s">
        <v>25</v>
      </c>
      <c r="B916" s="116" t="s">
        <v>22</v>
      </c>
      <c r="C916" s="116">
        <v>5.0069999999999997</v>
      </c>
      <c r="D916" s="117"/>
      <c r="E916" s="117">
        <v>90.1</v>
      </c>
      <c r="F916" s="117"/>
      <c r="G916" s="117">
        <v>600</v>
      </c>
      <c r="H916" s="123"/>
      <c r="I916" s="117" t="s">
        <v>122</v>
      </c>
      <c r="J916" s="115">
        <v>387</v>
      </c>
      <c r="K916" s="115" t="s">
        <v>23</v>
      </c>
      <c r="L916" s="117" t="s">
        <v>24</v>
      </c>
      <c r="M916" s="66">
        <v>291063</v>
      </c>
      <c r="N916" s="66">
        <v>3232</v>
      </c>
      <c r="O916" s="66">
        <v>98961</v>
      </c>
      <c r="P916" s="66">
        <v>390025</v>
      </c>
      <c r="Q916" s="67">
        <v>0.4</v>
      </c>
      <c r="R916" s="66">
        <v>156010</v>
      </c>
      <c r="S916" s="66">
        <v>546035</v>
      </c>
      <c r="T916" s="106">
        <f>IF(A916="Upgrade",IF(OR(H916=4,H916=5),_xlfn.XLOOKUP(I916,'Renewal Rates'!$A$22:$A$27,'Renewal Rates'!$B$22:$B$27,'Renewal Rates'!$B$27,0),'Renewal Rates'!$F$7),IF(A916="Renewal",100%,0%))</f>
        <v>0</v>
      </c>
      <c r="U916" s="68">
        <f t="shared" si="14"/>
        <v>0</v>
      </c>
    </row>
    <row r="917" spans="1:21" s="41" customFormat="1" ht="13.8" x14ac:dyDescent="0.3">
      <c r="A917" s="115" t="s">
        <v>25</v>
      </c>
      <c r="B917" s="116" t="s">
        <v>22</v>
      </c>
      <c r="C917" s="116">
        <v>6.0049999999999999</v>
      </c>
      <c r="D917" s="117"/>
      <c r="E917" s="117">
        <v>93.7</v>
      </c>
      <c r="F917" s="117"/>
      <c r="G917" s="117">
        <v>600</v>
      </c>
      <c r="H917" s="123"/>
      <c r="I917" s="117" t="s">
        <v>122</v>
      </c>
      <c r="J917" s="115">
        <v>387</v>
      </c>
      <c r="K917" s="115" t="s">
        <v>23</v>
      </c>
      <c r="L917" s="117" t="s">
        <v>24</v>
      </c>
      <c r="M917" s="66">
        <v>330685</v>
      </c>
      <c r="N917" s="66">
        <v>3528</v>
      </c>
      <c r="O917" s="66">
        <v>112433</v>
      </c>
      <c r="P917" s="66">
        <v>443117</v>
      </c>
      <c r="Q917" s="67">
        <v>0.4</v>
      </c>
      <c r="R917" s="66">
        <v>177247</v>
      </c>
      <c r="S917" s="66">
        <v>620364</v>
      </c>
      <c r="T917" s="106">
        <f>IF(A917="Upgrade",IF(OR(H917=4,H917=5),_xlfn.XLOOKUP(I917,'Renewal Rates'!$A$22:$A$27,'Renewal Rates'!$B$22:$B$27,'Renewal Rates'!$B$27,0),'Renewal Rates'!$F$7),IF(A917="Renewal",100%,0%))</f>
        <v>0</v>
      </c>
      <c r="U917" s="68">
        <f t="shared" si="14"/>
        <v>0</v>
      </c>
    </row>
    <row r="918" spans="1:21" s="41" customFormat="1" ht="13.8" x14ac:dyDescent="0.3">
      <c r="A918" s="115" t="s">
        <v>21</v>
      </c>
      <c r="B918" s="116">
        <v>2000965068</v>
      </c>
      <c r="C918" s="116">
        <v>6.01</v>
      </c>
      <c r="D918" s="117">
        <v>9.9</v>
      </c>
      <c r="E918" s="117"/>
      <c r="F918" s="117">
        <v>450</v>
      </c>
      <c r="G918" s="117">
        <v>1050</v>
      </c>
      <c r="H918" s="123"/>
      <c r="I918" s="117" t="s">
        <v>122</v>
      </c>
      <c r="J918" s="115">
        <v>387</v>
      </c>
      <c r="K918" s="115" t="s">
        <v>23</v>
      </c>
      <c r="L918" s="117" t="s">
        <v>24</v>
      </c>
      <c r="M918" s="66">
        <v>148325</v>
      </c>
      <c r="N918" s="66">
        <v>14921</v>
      </c>
      <c r="O918" s="66">
        <v>50430</v>
      </c>
      <c r="P918" s="66">
        <v>198755</v>
      </c>
      <c r="Q918" s="67">
        <v>0.4</v>
      </c>
      <c r="R918" s="66">
        <v>79502</v>
      </c>
      <c r="S918" s="66">
        <v>278257</v>
      </c>
      <c r="T918" s="106">
        <f>IF(A918="Upgrade",IF(OR(H918=4,H918=5),_xlfn.XLOOKUP(I918,'Renewal Rates'!$A$22:$A$27,'Renewal Rates'!$B$22:$B$27,'Renewal Rates'!$B$27,0),'Renewal Rates'!$F$7),IF(A918="Renewal",100%,0%))</f>
        <v>2.6599999999999999E-2</v>
      </c>
      <c r="U918" s="68">
        <f t="shared" si="14"/>
        <v>7401.6361999999999</v>
      </c>
    </row>
    <row r="919" spans="1:21" s="41" customFormat="1" ht="13.8" x14ac:dyDescent="0.3">
      <c r="A919" s="115" t="s">
        <v>21</v>
      </c>
      <c r="B919" s="116">
        <v>2000843285</v>
      </c>
      <c r="C919" s="116">
        <v>6.01</v>
      </c>
      <c r="D919" s="117">
        <v>39.299999999999997</v>
      </c>
      <c r="E919" s="117"/>
      <c r="F919" s="117">
        <v>450</v>
      </c>
      <c r="G919" s="117">
        <v>1050</v>
      </c>
      <c r="H919" s="123"/>
      <c r="I919" s="117" t="s">
        <v>122</v>
      </c>
      <c r="J919" s="115">
        <v>387</v>
      </c>
      <c r="K919" s="115" t="s">
        <v>23</v>
      </c>
      <c r="L919" s="117" t="s">
        <v>24</v>
      </c>
      <c r="M919" s="66">
        <v>259464</v>
      </c>
      <c r="N919" s="66">
        <v>6602</v>
      </c>
      <c r="O919" s="66">
        <v>88218</v>
      </c>
      <c r="P919" s="66">
        <v>347682</v>
      </c>
      <c r="Q919" s="67">
        <v>0.4</v>
      </c>
      <c r="R919" s="66">
        <v>139073</v>
      </c>
      <c r="S919" s="66">
        <v>486754</v>
      </c>
      <c r="T919" s="106">
        <f>IF(A919="Upgrade",IF(OR(H919=4,H919=5),_xlfn.XLOOKUP(I919,'Renewal Rates'!$A$22:$A$27,'Renewal Rates'!$B$22:$B$27,'Renewal Rates'!$B$27,0),'Renewal Rates'!$F$7),IF(A919="Renewal",100%,0%))</f>
        <v>2.6599999999999999E-2</v>
      </c>
      <c r="U919" s="68">
        <f t="shared" si="14"/>
        <v>12947.6564</v>
      </c>
    </row>
    <row r="920" spans="1:21" s="41" customFormat="1" ht="13.8" x14ac:dyDescent="0.3">
      <c r="A920" s="115" t="s">
        <v>21</v>
      </c>
      <c r="B920" s="116">
        <v>3000101115</v>
      </c>
      <c r="C920" s="116">
        <v>6.01</v>
      </c>
      <c r="D920" s="117">
        <v>35.700000000000003</v>
      </c>
      <c r="E920" s="117"/>
      <c r="F920" s="117">
        <v>225</v>
      </c>
      <c r="G920" s="117">
        <v>1050</v>
      </c>
      <c r="H920" s="123"/>
      <c r="I920" s="117" t="s">
        <v>122</v>
      </c>
      <c r="J920" s="115">
        <v>387</v>
      </c>
      <c r="K920" s="115" t="s">
        <v>23</v>
      </c>
      <c r="L920" s="117" t="s">
        <v>24</v>
      </c>
      <c r="M920" s="66">
        <v>252122</v>
      </c>
      <c r="N920" s="66">
        <v>7067</v>
      </c>
      <c r="O920" s="66">
        <v>85721</v>
      </c>
      <c r="P920" s="66">
        <v>337843</v>
      </c>
      <c r="Q920" s="67">
        <v>0.4</v>
      </c>
      <c r="R920" s="66">
        <v>135137</v>
      </c>
      <c r="S920" s="66">
        <v>472981</v>
      </c>
      <c r="T920" s="106">
        <f>IF(A920="Upgrade",IF(OR(H920=4,H920=5),_xlfn.XLOOKUP(I920,'Renewal Rates'!$A$22:$A$27,'Renewal Rates'!$B$22:$B$27,'Renewal Rates'!$B$27,0),'Renewal Rates'!$F$7),IF(A920="Renewal",100%,0%))</f>
        <v>2.6599999999999999E-2</v>
      </c>
      <c r="U920" s="68">
        <f t="shared" si="14"/>
        <v>12581.294599999999</v>
      </c>
    </row>
    <row r="921" spans="1:21" s="41" customFormat="1" ht="13.8" x14ac:dyDescent="0.3">
      <c r="A921" s="115" t="s">
        <v>21</v>
      </c>
      <c r="B921" s="116">
        <v>2000121353</v>
      </c>
      <c r="C921" s="116">
        <v>6.01</v>
      </c>
      <c r="D921" s="117">
        <v>69.5</v>
      </c>
      <c r="E921" s="117"/>
      <c r="F921" s="117">
        <v>375</v>
      </c>
      <c r="G921" s="117">
        <v>1050</v>
      </c>
      <c r="H921" s="123"/>
      <c r="I921" s="117" t="s">
        <v>122</v>
      </c>
      <c r="J921" s="115">
        <v>387</v>
      </c>
      <c r="K921" s="115" t="s">
        <v>23</v>
      </c>
      <c r="L921" s="117" t="s">
        <v>24</v>
      </c>
      <c r="M921" s="66">
        <v>472211</v>
      </c>
      <c r="N921" s="66">
        <v>6794</v>
      </c>
      <c r="O921" s="66">
        <v>160552</v>
      </c>
      <c r="P921" s="66">
        <v>632763</v>
      </c>
      <c r="Q921" s="67">
        <v>0.4</v>
      </c>
      <c r="R921" s="66">
        <v>253105</v>
      </c>
      <c r="S921" s="66">
        <v>885868</v>
      </c>
      <c r="T921" s="106">
        <f>IF(A921="Upgrade",IF(OR(H921=4,H921=5),_xlfn.XLOOKUP(I921,'Renewal Rates'!$A$22:$A$27,'Renewal Rates'!$B$22:$B$27,'Renewal Rates'!$B$27,0),'Renewal Rates'!$F$7),IF(A921="Renewal",100%,0%))</f>
        <v>2.6599999999999999E-2</v>
      </c>
      <c r="U921" s="68">
        <f t="shared" si="14"/>
        <v>23564.088799999998</v>
      </c>
    </row>
    <row r="922" spans="1:21" s="41" customFormat="1" ht="13.8" x14ac:dyDescent="0.3">
      <c r="A922" s="115" t="s">
        <v>21</v>
      </c>
      <c r="B922" s="116">
        <v>2000613418</v>
      </c>
      <c r="C922" s="116">
        <v>6.01</v>
      </c>
      <c r="D922" s="117">
        <v>5.4</v>
      </c>
      <c r="E922" s="117"/>
      <c r="F922" s="117">
        <v>450</v>
      </c>
      <c r="G922" s="117">
        <v>1050</v>
      </c>
      <c r="H922" s="123"/>
      <c r="I922" s="117" t="s">
        <v>122</v>
      </c>
      <c r="J922" s="115">
        <v>387</v>
      </c>
      <c r="K922" s="115" t="s">
        <v>23</v>
      </c>
      <c r="L922" s="117" t="s">
        <v>24</v>
      </c>
      <c r="M922" s="66">
        <v>77426</v>
      </c>
      <c r="N922" s="66">
        <v>14373</v>
      </c>
      <c r="O922" s="66">
        <v>26325</v>
      </c>
      <c r="P922" s="66">
        <v>103751</v>
      </c>
      <c r="Q922" s="67">
        <v>0.4</v>
      </c>
      <c r="R922" s="66">
        <v>41501</v>
      </c>
      <c r="S922" s="66">
        <v>145252</v>
      </c>
      <c r="T922" s="106">
        <f>IF(A922="Upgrade",IF(OR(H922=4,H922=5),_xlfn.XLOOKUP(I922,'Renewal Rates'!$A$22:$A$27,'Renewal Rates'!$B$22:$B$27,'Renewal Rates'!$B$27,0),'Renewal Rates'!$F$7),IF(A922="Renewal",100%,0%))</f>
        <v>2.6599999999999999E-2</v>
      </c>
      <c r="U922" s="68">
        <f t="shared" si="14"/>
        <v>3863.7031999999999</v>
      </c>
    </row>
    <row r="923" spans="1:21" s="41" customFormat="1" ht="13.8" x14ac:dyDescent="0.3">
      <c r="A923" s="115" t="s">
        <v>21</v>
      </c>
      <c r="B923" s="116">
        <v>2000597595</v>
      </c>
      <c r="C923" s="116">
        <v>6.01</v>
      </c>
      <c r="D923" s="117">
        <v>47.4</v>
      </c>
      <c r="E923" s="117"/>
      <c r="F923" s="117">
        <v>450</v>
      </c>
      <c r="G923" s="117">
        <v>1050</v>
      </c>
      <c r="H923" s="123"/>
      <c r="I923" s="117" t="s">
        <v>122</v>
      </c>
      <c r="J923" s="115">
        <v>387</v>
      </c>
      <c r="K923" s="115" t="s">
        <v>23</v>
      </c>
      <c r="L923" s="117" t="s">
        <v>24</v>
      </c>
      <c r="M923" s="66">
        <v>321302</v>
      </c>
      <c r="N923" s="66">
        <v>6772</v>
      </c>
      <c r="O923" s="66">
        <v>109243</v>
      </c>
      <c r="P923" s="66">
        <v>430544</v>
      </c>
      <c r="Q923" s="67">
        <v>0.4</v>
      </c>
      <c r="R923" s="66">
        <v>172218</v>
      </c>
      <c r="S923" s="66">
        <v>602762</v>
      </c>
      <c r="T923" s="106">
        <f>IF(A923="Upgrade",IF(OR(H923=4,H923=5),_xlfn.XLOOKUP(I923,'Renewal Rates'!$A$22:$A$27,'Renewal Rates'!$B$22:$B$27,'Renewal Rates'!$B$27,0),'Renewal Rates'!$F$7),IF(A923="Renewal",100%,0%))</f>
        <v>2.6599999999999999E-2</v>
      </c>
      <c r="U923" s="68">
        <f t="shared" si="14"/>
        <v>16033.4692</v>
      </c>
    </row>
    <row r="924" spans="1:21" s="41" customFormat="1" ht="13.8" x14ac:dyDescent="0.3">
      <c r="A924" s="115" t="s">
        <v>21</v>
      </c>
      <c r="B924" s="116">
        <v>2000497874</v>
      </c>
      <c r="C924" s="116">
        <v>6.01</v>
      </c>
      <c r="D924" s="117">
        <v>9.9</v>
      </c>
      <c r="E924" s="117"/>
      <c r="F924" s="117">
        <v>450</v>
      </c>
      <c r="G924" s="117">
        <v>1050</v>
      </c>
      <c r="H924" s="123"/>
      <c r="I924" s="117" t="s">
        <v>122</v>
      </c>
      <c r="J924" s="115">
        <v>387</v>
      </c>
      <c r="K924" s="115" t="s">
        <v>23</v>
      </c>
      <c r="L924" s="117" t="s">
        <v>24</v>
      </c>
      <c r="M924" s="66">
        <v>109234</v>
      </c>
      <c r="N924" s="66">
        <v>11038</v>
      </c>
      <c r="O924" s="66">
        <v>37139</v>
      </c>
      <c r="P924" s="66">
        <v>146373</v>
      </c>
      <c r="Q924" s="67">
        <v>0.4</v>
      </c>
      <c r="R924" s="66">
        <v>58549</v>
      </c>
      <c r="S924" s="66">
        <v>204923</v>
      </c>
      <c r="T924" s="106">
        <f>IF(A924="Upgrade",IF(OR(H924=4,H924=5),_xlfn.XLOOKUP(I924,'Renewal Rates'!$A$22:$A$27,'Renewal Rates'!$B$22:$B$27,'Renewal Rates'!$B$27,0),'Renewal Rates'!$F$7),IF(A924="Renewal",100%,0%))</f>
        <v>2.6599999999999999E-2</v>
      </c>
      <c r="U924" s="68">
        <f t="shared" si="14"/>
        <v>5450.9517999999998</v>
      </c>
    </row>
    <row r="925" spans="1:21" s="41" customFormat="1" ht="13.8" x14ac:dyDescent="0.3">
      <c r="A925" s="115" t="s">
        <v>21</v>
      </c>
      <c r="B925" s="116">
        <v>2000287774</v>
      </c>
      <c r="C925" s="116">
        <v>6.01</v>
      </c>
      <c r="D925" s="117">
        <v>10</v>
      </c>
      <c r="E925" s="117"/>
      <c r="F925" s="117">
        <v>450</v>
      </c>
      <c r="G925" s="117">
        <v>1050</v>
      </c>
      <c r="H925" s="123"/>
      <c r="I925" s="117" t="s">
        <v>122</v>
      </c>
      <c r="J925" s="115">
        <v>387</v>
      </c>
      <c r="K925" s="115" t="s">
        <v>23</v>
      </c>
      <c r="L925" s="117" t="s">
        <v>24</v>
      </c>
      <c r="M925" s="66">
        <v>109509</v>
      </c>
      <c r="N925" s="66">
        <v>10916</v>
      </c>
      <c r="O925" s="66">
        <v>37233</v>
      </c>
      <c r="P925" s="66">
        <v>146743</v>
      </c>
      <c r="Q925" s="67">
        <v>0.4</v>
      </c>
      <c r="R925" s="66">
        <v>58697</v>
      </c>
      <c r="S925" s="66">
        <v>205440</v>
      </c>
      <c r="T925" s="106">
        <f>IF(A925="Upgrade",IF(OR(H925=4,H925=5),_xlfn.XLOOKUP(I925,'Renewal Rates'!$A$22:$A$27,'Renewal Rates'!$B$22:$B$27,'Renewal Rates'!$B$27,0),'Renewal Rates'!$F$7),IF(A925="Renewal",100%,0%))</f>
        <v>2.6599999999999999E-2</v>
      </c>
      <c r="U925" s="68">
        <f t="shared" si="14"/>
        <v>5464.7039999999997</v>
      </c>
    </row>
    <row r="926" spans="1:21" s="41" customFormat="1" ht="13.8" x14ac:dyDescent="0.3">
      <c r="A926" s="115" t="s">
        <v>21</v>
      </c>
      <c r="B926" s="116">
        <v>2000594004</v>
      </c>
      <c r="C926" s="116">
        <v>6.01</v>
      </c>
      <c r="D926" s="117">
        <v>56.9</v>
      </c>
      <c r="E926" s="117"/>
      <c r="F926" s="117">
        <v>450</v>
      </c>
      <c r="G926" s="117">
        <v>1050</v>
      </c>
      <c r="H926" s="123"/>
      <c r="I926" s="117" t="s">
        <v>122</v>
      </c>
      <c r="J926" s="115">
        <v>387</v>
      </c>
      <c r="K926" s="115" t="s">
        <v>23</v>
      </c>
      <c r="L926" s="117" t="s">
        <v>24</v>
      </c>
      <c r="M926" s="66">
        <v>401416</v>
      </c>
      <c r="N926" s="66">
        <v>7050</v>
      </c>
      <c r="O926" s="66">
        <v>136481</v>
      </c>
      <c r="P926" s="66">
        <v>537897</v>
      </c>
      <c r="Q926" s="67">
        <v>0.4</v>
      </c>
      <c r="R926" s="66">
        <v>215159</v>
      </c>
      <c r="S926" s="66">
        <v>753056</v>
      </c>
      <c r="T926" s="106">
        <f>IF(A926="Upgrade",IF(OR(H926=4,H926=5),_xlfn.XLOOKUP(I926,'Renewal Rates'!$A$22:$A$27,'Renewal Rates'!$B$22:$B$27,'Renewal Rates'!$B$27,0),'Renewal Rates'!$F$7),IF(A926="Renewal",100%,0%))</f>
        <v>2.6599999999999999E-2</v>
      </c>
      <c r="U926" s="68">
        <f t="shared" si="14"/>
        <v>20031.2896</v>
      </c>
    </row>
    <row r="927" spans="1:21" s="41" customFormat="1" ht="13.8" x14ac:dyDescent="0.3">
      <c r="A927" s="115" t="s">
        <v>21</v>
      </c>
      <c r="B927" s="116">
        <v>2000112186</v>
      </c>
      <c r="C927" s="116">
        <v>6.0019999999999998</v>
      </c>
      <c r="D927" s="117">
        <v>52.5</v>
      </c>
      <c r="E927" s="117"/>
      <c r="F927" s="117">
        <v>450</v>
      </c>
      <c r="G927" s="117">
        <v>975</v>
      </c>
      <c r="H927" s="123"/>
      <c r="I927" s="117" t="s">
        <v>122</v>
      </c>
      <c r="J927" s="115">
        <v>387</v>
      </c>
      <c r="K927" s="115" t="s">
        <v>23</v>
      </c>
      <c r="L927" s="117" t="s">
        <v>24</v>
      </c>
      <c r="M927" s="66">
        <v>361967</v>
      </c>
      <c r="N927" s="66">
        <v>6890</v>
      </c>
      <c r="O927" s="66">
        <v>123069</v>
      </c>
      <c r="P927" s="66">
        <v>485036</v>
      </c>
      <c r="Q927" s="67">
        <v>0.4</v>
      </c>
      <c r="R927" s="66">
        <v>194015</v>
      </c>
      <c r="S927" s="66">
        <v>679051</v>
      </c>
      <c r="T927" s="106">
        <f>IF(A927="Upgrade",IF(OR(H927=4,H927=5),_xlfn.XLOOKUP(I927,'Renewal Rates'!$A$22:$A$27,'Renewal Rates'!$B$22:$B$27,'Renewal Rates'!$B$27,0),'Renewal Rates'!$F$7),IF(A927="Renewal",100%,0%))</f>
        <v>2.6599999999999999E-2</v>
      </c>
      <c r="U927" s="68">
        <f t="shared" si="14"/>
        <v>18062.756600000001</v>
      </c>
    </row>
    <row r="928" spans="1:21" s="41" customFormat="1" ht="13.8" x14ac:dyDescent="0.3">
      <c r="A928" s="115" t="s">
        <v>21</v>
      </c>
      <c r="B928" s="116">
        <v>2000748675</v>
      </c>
      <c r="C928" s="116">
        <v>6.0019999999999998</v>
      </c>
      <c r="D928" s="117">
        <v>10.7</v>
      </c>
      <c r="E928" s="117"/>
      <c r="F928" s="117">
        <v>300</v>
      </c>
      <c r="G928" s="117">
        <v>975</v>
      </c>
      <c r="H928" s="123"/>
      <c r="I928" s="117" t="s">
        <v>122</v>
      </c>
      <c r="J928" s="115">
        <v>387</v>
      </c>
      <c r="K928" s="115" t="s">
        <v>23</v>
      </c>
      <c r="L928" s="117" t="s">
        <v>24</v>
      </c>
      <c r="M928" s="66">
        <v>109573</v>
      </c>
      <c r="N928" s="66">
        <v>10222</v>
      </c>
      <c r="O928" s="66">
        <v>37255</v>
      </c>
      <c r="P928" s="66">
        <v>146828</v>
      </c>
      <c r="Q928" s="67">
        <v>0.4</v>
      </c>
      <c r="R928" s="66">
        <v>58731</v>
      </c>
      <c r="S928" s="66">
        <v>205559</v>
      </c>
      <c r="T928" s="106">
        <f>IF(A928="Upgrade",IF(OR(H928=4,H928=5),_xlfn.XLOOKUP(I928,'Renewal Rates'!$A$22:$A$27,'Renewal Rates'!$B$22:$B$27,'Renewal Rates'!$B$27,0),'Renewal Rates'!$F$7),IF(A928="Renewal",100%,0%))</f>
        <v>2.6599999999999999E-2</v>
      </c>
      <c r="U928" s="68">
        <f t="shared" si="14"/>
        <v>5467.8693999999996</v>
      </c>
    </row>
    <row r="929" spans="1:21" s="41" customFormat="1" ht="13.8" x14ac:dyDescent="0.3">
      <c r="A929" s="115" t="s">
        <v>21</v>
      </c>
      <c r="B929" s="116">
        <v>2000299426</v>
      </c>
      <c r="C929" s="116">
        <v>6.0019999999999998</v>
      </c>
      <c r="D929" s="117">
        <v>39.799999999999997</v>
      </c>
      <c r="E929" s="117"/>
      <c r="F929" s="117">
        <v>450</v>
      </c>
      <c r="G929" s="117">
        <v>975</v>
      </c>
      <c r="H929" s="123"/>
      <c r="I929" s="117" t="s">
        <v>122</v>
      </c>
      <c r="J929" s="115">
        <v>387</v>
      </c>
      <c r="K929" s="115" t="s">
        <v>23</v>
      </c>
      <c r="L929" s="117" t="s">
        <v>24</v>
      </c>
      <c r="M929" s="66">
        <v>254319</v>
      </c>
      <c r="N929" s="66">
        <v>6386</v>
      </c>
      <c r="O929" s="66">
        <v>86469</v>
      </c>
      <c r="P929" s="66">
        <v>340788</v>
      </c>
      <c r="Q929" s="67">
        <v>0.4</v>
      </c>
      <c r="R929" s="66">
        <v>136315</v>
      </c>
      <c r="S929" s="66">
        <v>477103</v>
      </c>
      <c r="T929" s="106">
        <f>IF(A929="Upgrade",IF(OR(H929=4,H929=5),_xlfn.XLOOKUP(I929,'Renewal Rates'!$A$22:$A$27,'Renewal Rates'!$B$22:$B$27,'Renewal Rates'!$B$27,0),'Renewal Rates'!$F$7),IF(A929="Renewal",100%,0%))</f>
        <v>2.6599999999999999E-2</v>
      </c>
      <c r="U929" s="68">
        <f t="shared" si="14"/>
        <v>12690.9398</v>
      </c>
    </row>
    <row r="930" spans="1:21" s="41" customFormat="1" ht="13.8" x14ac:dyDescent="0.3">
      <c r="A930" s="115" t="s">
        <v>21</v>
      </c>
      <c r="B930" s="116">
        <v>2000447110</v>
      </c>
      <c r="C930" s="116">
        <v>6.0019999999999998</v>
      </c>
      <c r="D930" s="117">
        <v>56.1</v>
      </c>
      <c r="E930" s="117"/>
      <c r="F930" s="117">
        <v>450</v>
      </c>
      <c r="G930" s="117">
        <v>975</v>
      </c>
      <c r="H930" s="123"/>
      <c r="I930" s="117" t="s">
        <v>122</v>
      </c>
      <c r="J930" s="115">
        <v>387</v>
      </c>
      <c r="K930" s="115" t="s">
        <v>23</v>
      </c>
      <c r="L930" s="117" t="s">
        <v>24</v>
      </c>
      <c r="M930" s="66">
        <v>368578</v>
      </c>
      <c r="N930" s="66">
        <v>6571</v>
      </c>
      <c r="O930" s="66">
        <v>125317</v>
      </c>
      <c r="P930" s="66">
        <v>493894</v>
      </c>
      <c r="Q930" s="67">
        <v>0.4</v>
      </c>
      <c r="R930" s="66">
        <v>197558</v>
      </c>
      <c r="S930" s="66">
        <v>691452</v>
      </c>
      <c r="T930" s="106">
        <f>IF(A930="Upgrade",IF(OR(H930=4,H930=5),_xlfn.XLOOKUP(I930,'Renewal Rates'!$A$22:$A$27,'Renewal Rates'!$B$22:$B$27,'Renewal Rates'!$B$27,0),'Renewal Rates'!$F$7),IF(A930="Renewal",100%,0%))</f>
        <v>2.6599999999999999E-2</v>
      </c>
      <c r="U930" s="68">
        <f t="shared" si="14"/>
        <v>18392.623199999998</v>
      </c>
    </row>
    <row r="931" spans="1:21" s="41" customFormat="1" ht="13.8" x14ac:dyDescent="0.3">
      <c r="A931" s="115" t="s">
        <v>21</v>
      </c>
      <c r="B931" s="116">
        <v>2000369219</v>
      </c>
      <c r="C931" s="116">
        <v>6.0019999999999998</v>
      </c>
      <c r="D931" s="117">
        <v>41.3</v>
      </c>
      <c r="E931" s="117"/>
      <c r="F931" s="117">
        <v>300</v>
      </c>
      <c r="G931" s="117">
        <v>975</v>
      </c>
      <c r="H931" s="123"/>
      <c r="I931" s="117" t="s">
        <v>122</v>
      </c>
      <c r="J931" s="115">
        <v>387</v>
      </c>
      <c r="K931" s="115" t="s">
        <v>23</v>
      </c>
      <c r="L931" s="117" t="s">
        <v>24</v>
      </c>
      <c r="M931" s="66">
        <v>256999</v>
      </c>
      <c r="N931" s="66">
        <v>6228</v>
      </c>
      <c r="O931" s="66">
        <v>87380</v>
      </c>
      <c r="P931" s="66">
        <v>344378</v>
      </c>
      <c r="Q931" s="67">
        <v>0.4</v>
      </c>
      <c r="R931" s="66">
        <v>137751</v>
      </c>
      <c r="S931" s="66">
        <v>482130</v>
      </c>
      <c r="T931" s="106">
        <f>IF(A931="Upgrade",IF(OR(H931=4,H931=5),_xlfn.XLOOKUP(I931,'Renewal Rates'!$A$22:$A$27,'Renewal Rates'!$B$22:$B$27,'Renewal Rates'!$B$27,0),'Renewal Rates'!$F$7),IF(A931="Renewal",100%,0%))</f>
        <v>2.6599999999999999E-2</v>
      </c>
      <c r="U931" s="68">
        <f t="shared" si="14"/>
        <v>12824.657999999999</v>
      </c>
    </row>
    <row r="932" spans="1:21" s="41" customFormat="1" ht="13.8" x14ac:dyDescent="0.3">
      <c r="A932" s="115" t="s">
        <v>21</v>
      </c>
      <c r="B932" s="116">
        <v>2000058450</v>
      </c>
      <c r="C932" s="116">
        <v>6.0019999999999998</v>
      </c>
      <c r="D932" s="117">
        <v>42.6</v>
      </c>
      <c r="E932" s="117"/>
      <c r="F932" s="117">
        <v>300</v>
      </c>
      <c r="G932" s="117">
        <v>975</v>
      </c>
      <c r="H932" s="123"/>
      <c r="I932" s="117" t="s">
        <v>122</v>
      </c>
      <c r="J932" s="115">
        <v>387</v>
      </c>
      <c r="K932" s="115" t="s">
        <v>23</v>
      </c>
      <c r="L932" s="117" t="s">
        <v>24</v>
      </c>
      <c r="M932" s="66">
        <v>205534</v>
      </c>
      <c r="N932" s="66">
        <v>4821</v>
      </c>
      <c r="O932" s="66">
        <v>69882</v>
      </c>
      <c r="P932" s="66">
        <v>275416</v>
      </c>
      <c r="Q932" s="67">
        <v>0.4</v>
      </c>
      <c r="R932" s="66">
        <v>110166</v>
      </c>
      <c r="S932" s="66">
        <v>385582</v>
      </c>
      <c r="T932" s="106">
        <f>IF(A932="Upgrade",IF(OR(H932=4,H932=5),_xlfn.XLOOKUP(I932,'Renewal Rates'!$A$22:$A$27,'Renewal Rates'!$B$22:$B$27,'Renewal Rates'!$B$27,0),'Renewal Rates'!$F$7),IF(A932="Renewal",100%,0%))</f>
        <v>2.6599999999999999E-2</v>
      </c>
      <c r="U932" s="68">
        <f t="shared" si="14"/>
        <v>10256.4812</v>
      </c>
    </row>
    <row r="933" spans="1:21" s="41" customFormat="1" ht="13.8" x14ac:dyDescent="0.3">
      <c r="A933" s="115" t="s">
        <v>21</v>
      </c>
      <c r="B933" s="116">
        <v>3000158790</v>
      </c>
      <c r="C933" s="116">
        <v>6.0019999999999998</v>
      </c>
      <c r="D933" s="117">
        <v>26.6</v>
      </c>
      <c r="E933" s="117"/>
      <c r="F933" s="117">
        <v>300</v>
      </c>
      <c r="G933" s="117">
        <v>975</v>
      </c>
      <c r="H933" s="123"/>
      <c r="I933" s="117" t="s">
        <v>122</v>
      </c>
      <c r="J933" s="115">
        <v>387</v>
      </c>
      <c r="K933" s="115" t="s">
        <v>23</v>
      </c>
      <c r="L933" s="117" t="s">
        <v>24</v>
      </c>
      <c r="M933" s="66">
        <v>184453</v>
      </c>
      <c r="N933" s="66">
        <v>6928</v>
      </c>
      <c r="O933" s="66">
        <v>62714</v>
      </c>
      <c r="P933" s="66">
        <v>247167</v>
      </c>
      <c r="Q933" s="67">
        <v>0.4</v>
      </c>
      <c r="R933" s="66">
        <v>98867</v>
      </c>
      <c r="S933" s="66">
        <v>346034</v>
      </c>
      <c r="T933" s="106">
        <f>IF(A933="Upgrade",IF(OR(H933=4,H933=5),_xlfn.XLOOKUP(I933,'Renewal Rates'!$A$22:$A$27,'Renewal Rates'!$B$22:$B$27,'Renewal Rates'!$B$27,0),'Renewal Rates'!$F$7),IF(A933="Renewal",100%,0%))</f>
        <v>2.6599999999999999E-2</v>
      </c>
      <c r="U933" s="68">
        <f t="shared" si="14"/>
        <v>9204.5043999999998</v>
      </c>
    </row>
    <row r="934" spans="1:21" s="41" customFormat="1" ht="13.8" x14ac:dyDescent="0.3">
      <c r="A934" s="115" t="s">
        <v>21</v>
      </c>
      <c r="B934" s="116">
        <v>2000208722</v>
      </c>
      <c r="C934" s="116">
        <v>6.0019999999999998</v>
      </c>
      <c r="D934" s="117">
        <v>7.6</v>
      </c>
      <c r="E934" s="117"/>
      <c r="F934" s="117">
        <v>300</v>
      </c>
      <c r="G934" s="117">
        <v>975</v>
      </c>
      <c r="H934" s="123"/>
      <c r="I934" s="117" t="s">
        <v>122</v>
      </c>
      <c r="J934" s="115">
        <v>387</v>
      </c>
      <c r="K934" s="115" t="s">
        <v>23</v>
      </c>
      <c r="L934" s="117" t="s">
        <v>24</v>
      </c>
      <c r="M934" s="66">
        <v>103821</v>
      </c>
      <c r="N934" s="66">
        <v>13625</v>
      </c>
      <c r="O934" s="66">
        <v>35299</v>
      </c>
      <c r="P934" s="66">
        <v>139121</v>
      </c>
      <c r="Q934" s="67">
        <v>0.4</v>
      </c>
      <c r="R934" s="66">
        <v>55648</v>
      </c>
      <c r="S934" s="66">
        <v>194769</v>
      </c>
      <c r="T934" s="106">
        <f>IF(A934="Upgrade",IF(OR(H934=4,H934=5),_xlfn.XLOOKUP(I934,'Renewal Rates'!$A$22:$A$27,'Renewal Rates'!$B$22:$B$27,'Renewal Rates'!$B$27,0),'Renewal Rates'!$F$7),IF(A934="Renewal",100%,0%))</f>
        <v>2.6599999999999999E-2</v>
      </c>
      <c r="U934" s="68">
        <f t="shared" ref="U934:U960" si="15">S934*T934</f>
        <v>5180.8553999999995</v>
      </c>
    </row>
    <row r="935" spans="1:21" s="41" customFormat="1" ht="13.8" x14ac:dyDescent="0.3">
      <c r="A935" s="115" t="s">
        <v>21</v>
      </c>
      <c r="B935" s="116">
        <v>2000009652</v>
      </c>
      <c r="C935" s="116">
        <v>6.0019999999999998</v>
      </c>
      <c r="D935" s="117">
        <v>15.7</v>
      </c>
      <c r="E935" s="117"/>
      <c r="F935" s="117">
        <v>300</v>
      </c>
      <c r="G935" s="117">
        <v>975</v>
      </c>
      <c r="H935" s="123"/>
      <c r="I935" s="117" t="s">
        <v>122</v>
      </c>
      <c r="J935" s="115">
        <v>387</v>
      </c>
      <c r="K935" s="115" t="s">
        <v>23</v>
      </c>
      <c r="L935" s="117" t="s">
        <v>24</v>
      </c>
      <c r="M935" s="66">
        <v>141556</v>
      </c>
      <c r="N935" s="66">
        <v>8999</v>
      </c>
      <c r="O935" s="66">
        <v>48129</v>
      </c>
      <c r="P935" s="66">
        <v>189685</v>
      </c>
      <c r="Q935" s="67">
        <v>0.4</v>
      </c>
      <c r="R935" s="66">
        <v>75874</v>
      </c>
      <c r="S935" s="66">
        <v>265560</v>
      </c>
      <c r="T935" s="106">
        <f>IF(A935="Upgrade",IF(OR(H935=4,H935=5),_xlfn.XLOOKUP(I935,'Renewal Rates'!$A$22:$A$27,'Renewal Rates'!$B$22:$B$27,'Renewal Rates'!$B$27,0),'Renewal Rates'!$F$7),IF(A935="Renewal",100%,0%))</f>
        <v>2.6599999999999999E-2</v>
      </c>
      <c r="U935" s="68">
        <f t="shared" si="15"/>
        <v>7063.8959999999997</v>
      </c>
    </row>
    <row r="936" spans="1:21" s="41" customFormat="1" ht="13.8" x14ac:dyDescent="0.3">
      <c r="A936" s="115" t="s">
        <v>21</v>
      </c>
      <c r="B936" s="116">
        <v>2000161028</v>
      </c>
      <c r="C936" s="116">
        <v>6.0019999999999998</v>
      </c>
      <c r="D936" s="117">
        <v>21.3</v>
      </c>
      <c r="E936" s="117"/>
      <c r="F936" s="117">
        <v>300</v>
      </c>
      <c r="G936" s="117">
        <v>975</v>
      </c>
      <c r="H936" s="123"/>
      <c r="I936" s="117" t="s">
        <v>122</v>
      </c>
      <c r="J936" s="115">
        <v>387</v>
      </c>
      <c r="K936" s="115" t="s">
        <v>23</v>
      </c>
      <c r="L936" s="117" t="s">
        <v>24</v>
      </c>
      <c r="M936" s="66">
        <v>117755</v>
      </c>
      <c r="N936" s="66">
        <v>5536</v>
      </c>
      <c r="O936" s="66">
        <v>40037</v>
      </c>
      <c r="P936" s="66">
        <v>157792</v>
      </c>
      <c r="Q936" s="67">
        <v>0.4</v>
      </c>
      <c r="R936" s="66">
        <v>63117</v>
      </c>
      <c r="S936" s="66">
        <v>220908</v>
      </c>
      <c r="T936" s="106">
        <f>IF(A936="Upgrade",IF(OR(H936=4,H936=5),_xlfn.XLOOKUP(I936,'Renewal Rates'!$A$22:$A$27,'Renewal Rates'!$B$22:$B$27,'Renewal Rates'!$B$27,0),'Renewal Rates'!$F$7),IF(A936="Renewal",100%,0%))</f>
        <v>2.6599999999999999E-2</v>
      </c>
      <c r="U936" s="68">
        <f t="shared" si="15"/>
        <v>5876.1527999999998</v>
      </c>
    </row>
    <row r="937" spans="1:21" s="41" customFormat="1" ht="13.8" x14ac:dyDescent="0.3">
      <c r="A937" s="115" t="s">
        <v>21</v>
      </c>
      <c r="B937" s="116">
        <v>2000613884</v>
      </c>
      <c r="C937" s="116">
        <v>6.0110000000000001</v>
      </c>
      <c r="D937" s="117">
        <v>114.9</v>
      </c>
      <c r="E937" s="117"/>
      <c r="F937" s="117">
        <v>450</v>
      </c>
      <c r="G937" s="117">
        <v>1125</v>
      </c>
      <c r="H937" s="123"/>
      <c r="I937" s="117" t="s">
        <v>122</v>
      </c>
      <c r="J937" s="115">
        <v>387</v>
      </c>
      <c r="K937" s="115" t="s">
        <v>23</v>
      </c>
      <c r="L937" s="117" t="s">
        <v>24</v>
      </c>
      <c r="M937" s="66">
        <v>840673</v>
      </c>
      <c r="N937" s="66">
        <v>7317</v>
      </c>
      <c r="O937" s="66">
        <v>285829</v>
      </c>
      <c r="P937" s="66">
        <v>1126502</v>
      </c>
      <c r="Q937" s="67">
        <v>0.4</v>
      </c>
      <c r="R937" s="66">
        <v>450601</v>
      </c>
      <c r="S937" s="66">
        <v>1577103</v>
      </c>
      <c r="T937" s="106">
        <f>IF(A937="Upgrade",IF(OR(H937=4,H937=5),_xlfn.XLOOKUP(I937,'Renewal Rates'!$A$22:$A$27,'Renewal Rates'!$B$22:$B$27,'Renewal Rates'!$B$27,0),'Renewal Rates'!$F$7),IF(A937="Renewal",100%,0%))</f>
        <v>2.6599999999999999E-2</v>
      </c>
      <c r="U937" s="68">
        <f t="shared" si="15"/>
        <v>41950.9398</v>
      </c>
    </row>
    <row r="938" spans="1:21" s="41" customFormat="1" ht="13.8" x14ac:dyDescent="0.3">
      <c r="A938" s="115" t="s">
        <v>21</v>
      </c>
      <c r="B938" s="116">
        <v>2000039579</v>
      </c>
      <c r="C938" s="116">
        <v>6.0110000000000001</v>
      </c>
      <c r="D938" s="117">
        <v>60.8</v>
      </c>
      <c r="E938" s="117"/>
      <c r="F938" s="117">
        <v>225</v>
      </c>
      <c r="G938" s="117">
        <v>1125</v>
      </c>
      <c r="H938" s="123"/>
      <c r="I938" s="117" t="s">
        <v>122</v>
      </c>
      <c r="J938" s="115">
        <v>387</v>
      </c>
      <c r="K938" s="115" t="s">
        <v>23</v>
      </c>
      <c r="L938" s="117" t="s">
        <v>24</v>
      </c>
      <c r="M938" s="66">
        <v>441226</v>
      </c>
      <c r="N938" s="66">
        <v>7257</v>
      </c>
      <c r="O938" s="66">
        <v>150017</v>
      </c>
      <c r="P938" s="66">
        <v>591243</v>
      </c>
      <c r="Q938" s="67">
        <v>0.4</v>
      </c>
      <c r="R938" s="66">
        <v>236497</v>
      </c>
      <c r="S938" s="66">
        <v>827741</v>
      </c>
      <c r="T938" s="106">
        <f>IF(A938="Upgrade",IF(OR(H938=4,H938=5),_xlfn.XLOOKUP(I938,'Renewal Rates'!$A$22:$A$27,'Renewal Rates'!$B$22:$B$27,'Renewal Rates'!$B$27,0),'Renewal Rates'!$F$7),IF(A938="Renewal",100%,0%))</f>
        <v>2.6599999999999999E-2</v>
      </c>
      <c r="U938" s="68">
        <f t="shared" si="15"/>
        <v>22017.910599999999</v>
      </c>
    </row>
    <row r="939" spans="1:21" s="41" customFormat="1" ht="13.8" x14ac:dyDescent="0.3">
      <c r="A939" s="115" t="s">
        <v>21</v>
      </c>
      <c r="B939" s="116">
        <v>2000002646</v>
      </c>
      <c r="C939" s="116">
        <v>6.0030000000000001</v>
      </c>
      <c r="D939" s="117">
        <v>105.8</v>
      </c>
      <c r="E939" s="117"/>
      <c r="F939" s="117">
        <v>225</v>
      </c>
      <c r="G939" s="117">
        <v>975</v>
      </c>
      <c r="H939" s="123"/>
      <c r="I939" s="117" t="s">
        <v>122</v>
      </c>
      <c r="J939" s="115">
        <v>387</v>
      </c>
      <c r="K939" s="115" t="s">
        <v>23</v>
      </c>
      <c r="L939" s="117" t="s">
        <v>24</v>
      </c>
      <c r="M939" s="66">
        <v>658295</v>
      </c>
      <c r="N939" s="66">
        <v>6222</v>
      </c>
      <c r="O939" s="66">
        <v>223820</v>
      </c>
      <c r="P939" s="66">
        <v>882115</v>
      </c>
      <c r="Q939" s="67">
        <v>0.4</v>
      </c>
      <c r="R939" s="66">
        <v>352846</v>
      </c>
      <c r="S939" s="66">
        <v>1234961</v>
      </c>
      <c r="T939" s="106">
        <f>IF(A939="Upgrade",IF(OR(H939=4,H939=5),_xlfn.XLOOKUP(I939,'Renewal Rates'!$A$22:$A$27,'Renewal Rates'!$B$22:$B$27,'Renewal Rates'!$B$27,0),'Renewal Rates'!$F$7),IF(A939="Renewal",100%,0%))</f>
        <v>2.6599999999999999E-2</v>
      </c>
      <c r="U939" s="68">
        <f t="shared" si="15"/>
        <v>32849.962599999999</v>
      </c>
    </row>
    <row r="940" spans="1:21" s="41" customFormat="1" ht="13.8" x14ac:dyDescent="0.3">
      <c r="A940" s="115" t="s">
        <v>21</v>
      </c>
      <c r="B940" s="116">
        <v>2000671521</v>
      </c>
      <c r="C940" s="116">
        <v>6.0030000000000001</v>
      </c>
      <c r="D940" s="117">
        <v>55.2</v>
      </c>
      <c r="E940" s="117"/>
      <c r="F940" s="117">
        <v>225</v>
      </c>
      <c r="G940" s="117">
        <v>975</v>
      </c>
      <c r="H940" s="123"/>
      <c r="I940" s="117" t="s">
        <v>122</v>
      </c>
      <c r="J940" s="115">
        <v>387</v>
      </c>
      <c r="K940" s="115" t="s">
        <v>23</v>
      </c>
      <c r="L940" s="117" t="s">
        <v>24</v>
      </c>
      <c r="M940" s="66">
        <v>366963</v>
      </c>
      <c r="N940" s="66">
        <v>6645</v>
      </c>
      <c r="O940" s="66">
        <v>124768</v>
      </c>
      <c r="P940" s="66">
        <v>491731</v>
      </c>
      <c r="Q940" s="67">
        <v>0.4</v>
      </c>
      <c r="R940" s="66">
        <v>196692</v>
      </c>
      <c r="S940" s="66">
        <v>688423</v>
      </c>
      <c r="T940" s="106">
        <f>IF(A940="Upgrade",IF(OR(H940=4,H940=5),_xlfn.XLOOKUP(I940,'Renewal Rates'!$A$22:$A$27,'Renewal Rates'!$B$22:$B$27,'Renewal Rates'!$B$27,0),'Renewal Rates'!$F$7),IF(A940="Renewal",100%,0%))</f>
        <v>2.6599999999999999E-2</v>
      </c>
      <c r="U940" s="68">
        <f t="shared" si="15"/>
        <v>18312.051799999997</v>
      </c>
    </row>
    <row r="941" spans="1:21" s="41" customFormat="1" ht="13.8" x14ac:dyDescent="0.3">
      <c r="A941" s="115" t="s">
        <v>25</v>
      </c>
      <c r="B941" s="116" t="s">
        <v>22</v>
      </c>
      <c r="C941" s="116">
        <v>6.0060000000000002</v>
      </c>
      <c r="D941" s="117"/>
      <c r="E941" s="117">
        <v>133.69999999999999</v>
      </c>
      <c r="F941" s="117"/>
      <c r="G941" s="117">
        <v>750</v>
      </c>
      <c r="H941" s="123"/>
      <c r="I941" s="117" t="s">
        <v>122</v>
      </c>
      <c r="J941" s="115">
        <v>387</v>
      </c>
      <c r="K941" s="115" t="s">
        <v>23</v>
      </c>
      <c r="L941" s="117" t="s">
        <v>24</v>
      </c>
      <c r="M941" s="66">
        <v>575814</v>
      </c>
      <c r="N941" s="66">
        <v>4308</v>
      </c>
      <c r="O941" s="66">
        <v>195777</v>
      </c>
      <c r="P941" s="66">
        <v>771591</v>
      </c>
      <c r="Q941" s="67">
        <v>0.4</v>
      </c>
      <c r="R941" s="66">
        <v>308636</v>
      </c>
      <c r="S941" s="66">
        <v>1080227</v>
      </c>
      <c r="T941" s="106">
        <f>IF(A941="Upgrade",IF(OR(H941=4,H941=5),_xlfn.XLOOKUP(I941,'Renewal Rates'!$A$22:$A$27,'Renewal Rates'!$B$22:$B$27,'Renewal Rates'!$B$27,0),'Renewal Rates'!$F$7),IF(A941="Renewal",100%,0%))</f>
        <v>0</v>
      </c>
      <c r="U941" s="68">
        <f t="shared" si="15"/>
        <v>0</v>
      </c>
    </row>
    <row r="942" spans="1:21" s="41" customFormat="1" ht="13.8" x14ac:dyDescent="0.3">
      <c r="A942" s="115" t="s">
        <v>21</v>
      </c>
      <c r="B942" s="116">
        <v>2000242774</v>
      </c>
      <c r="C942" s="116">
        <v>6.0039999999999996</v>
      </c>
      <c r="D942" s="117">
        <v>6.2</v>
      </c>
      <c r="E942" s="117"/>
      <c r="F942" s="117">
        <v>300</v>
      </c>
      <c r="G942" s="117">
        <v>750</v>
      </c>
      <c r="H942" s="123"/>
      <c r="I942" s="117" t="s">
        <v>122</v>
      </c>
      <c r="J942" s="115">
        <v>387</v>
      </c>
      <c r="K942" s="115" t="s">
        <v>23</v>
      </c>
      <c r="L942" s="117" t="s">
        <v>24</v>
      </c>
      <c r="M942" s="66">
        <v>81424</v>
      </c>
      <c r="N942" s="66">
        <v>13060</v>
      </c>
      <c r="O942" s="66">
        <v>27684</v>
      </c>
      <c r="P942" s="66">
        <v>109108</v>
      </c>
      <c r="Q942" s="67">
        <v>0.4</v>
      </c>
      <c r="R942" s="66">
        <v>43643</v>
      </c>
      <c r="S942" s="66">
        <v>152751</v>
      </c>
      <c r="T942" s="106">
        <f>IF(A942="Upgrade",IF(OR(H942=4,H942=5),_xlfn.XLOOKUP(I942,'Renewal Rates'!$A$22:$A$27,'Renewal Rates'!$B$22:$B$27,'Renewal Rates'!$B$27,0),'Renewal Rates'!$F$7),IF(A942="Renewal",100%,0%))</f>
        <v>2.6599999999999999E-2</v>
      </c>
      <c r="U942" s="68">
        <f t="shared" si="15"/>
        <v>4063.1765999999998</v>
      </c>
    </row>
    <row r="943" spans="1:21" s="41" customFormat="1" ht="13.8" x14ac:dyDescent="0.3">
      <c r="A943" s="115" t="s">
        <v>21</v>
      </c>
      <c r="B943" s="116">
        <v>2000126605</v>
      </c>
      <c r="C943" s="116">
        <v>6.0039999999999996</v>
      </c>
      <c r="D943" s="117">
        <v>104.1</v>
      </c>
      <c r="E943" s="117"/>
      <c r="F943" s="117">
        <v>300</v>
      </c>
      <c r="G943" s="117">
        <v>750</v>
      </c>
      <c r="H943" s="123"/>
      <c r="I943" s="117" t="s">
        <v>122</v>
      </c>
      <c r="J943" s="115">
        <v>387</v>
      </c>
      <c r="K943" s="115" t="s">
        <v>23</v>
      </c>
      <c r="L943" s="117" t="s">
        <v>24</v>
      </c>
      <c r="M943" s="66">
        <v>434475</v>
      </c>
      <c r="N943" s="66">
        <v>4173</v>
      </c>
      <c r="O943" s="66">
        <v>147721</v>
      </c>
      <c r="P943" s="66">
        <v>582196</v>
      </c>
      <c r="Q943" s="67">
        <v>0.4</v>
      </c>
      <c r="R943" s="66">
        <v>232878</v>
      </c>
      <c r="S943" s="66">
        <v>815075</v>
      </c>
      <c r="T943" s="106">
        <f>IF(A943="Upgrade",IF(OR(H943=4,H943=5),_xlfn.XLOOKUP(I943,'Renewal Rates'!$A$22:$A$27,'Renewal Rates'!$B$22:$B$27,'Renewal Rates'!$B$27,0),'Renewal Rates'!$F$7),IF(A943="Renewal",100%,0%))</f>
        <v>2.6599999999999999E-2</v>
      </c>
      <c r="U943" s="68">
        <f t="shared" si="15"/>
        <v>21680.994999999999</v>
      </c>
    </row>
    <row r="944" spans="1:21" s="41" customFormat="1" ht="13.8" x14ac:dyDescent="0.3">
      <c r="A944" s="115" t="s">
        <v>25</v>
      </c>
      <c r="B944" s="116" t="s">
        <v>22</v>
      </c>
      <c r="C944" s="116">
        <v>6.0069999999999997</v>
      </c>
      <c r="D944" s="117"/>
      <c r="E944" s="117">
        <v>155.9</v>
      </c>
      <c r="F944" s="117"/>
      <c r="G944" s="117">
        <v>525</v>
      </c>
      <c r="H944" s="123"/>
      <c r="I944" s="117" t="s">
        <v>122</v>
      </c>
      <c r="J944" s="115">
        <v>387</v>
      </c>
      <c r="K944" s="115" t="s">
        <v>23</v>
      </c>
      <c r="L944" s="117" t="s">
        <v>24</v>
      </c>
      <c r="M944" s="66">
        <v>469881</v>
      </c>
      <c r="N944" s="66">
        <v>3014</v>
      </c>
      <c r="O944" s="66">
        <v>159760</v>
      </c>
      <c r="P944" s="66">
        <v>629641</v>
      </c>
      <c r="Q944" s="67">
        <v>0.4</v>
      </c>
      <c r="R944" s="66">
        <v>251856</v>
      </c>
      <c r="S944" s="66">
        <v>881497</v>
      </c>
      <c r="T944" s="106">
        <f>IF(A944="Upgrade",IF(OR(H944=4,H944=5),_xlfn.XLOOKUP(I944,'Renewal Rates'!$A$22:$A$27,'Renewal Rates'!$B$22:$B$27,'Renewal Rates'!$B$27,0),'Renewal Rates'!$F$7),IF(A944="Renewal",100%,0%))</f>
        <v>0</v>
      </c>
      <c r="U944" s="68">
        <f t="shared" si="15"/>
        <v>0</v>
      </c>
    </row>
    <row r="945" spans="1:21" s="41" customFormat="1" ht="13.8" x14ac:dyDescent="0.3">
      <c r="A945" s="115" t="s">
        <v>21</v>
      </c>
      <c r="B945" s="116">
        <v>2000118377</v>
      </c>
      <c r="C945" s="116">
        <v>6.0090000000000003</v>
      </c>
      <c r="D945" s="117">
        <v>23.6</v>
      </c>
      <c r="E945" s="117"/>
      <c r="F945" s="117">
        <v>375</v>
      </c>
      <c r="G945" s="117">
        <v>825</v>
      </c>
      <c r="H945" s="123"/>
      <c r="I945" s="117" t="s">
        <v>122</v>
      </c>
      <c r="J945" s="115">
        <v>387</v>
      </c>
      <c r="K945" s="115" t="s">
        <v>23</v>
      </c>
      <c r="L945" s="117" t="s">
        <v>24</v>
      </c>
      <c r="M945" s="66">
        <v>147386</v>
      </c>
      <c r="N945" s="66">
        <v>6234</v>
      </c>
      <c r="O945" s="66">
        <v>50111</v>
      </c>
      <c r="P945" s="66">
        <v>197497</v>
      </c>
      <c r="Q945" s="67">
        <v>0.4</v>
      </c>
      <c r="R945" s="66">
        <v>78999</v>
      </c>
      <c r="S945" s="66">
        <v>276496</v>
      </c>
      <c r="T945" s="106">
        <f>IF(A945="Upgrade",IF(OR(H945=4,H945=5),_xlfn.XLOOKUP(I945,'Renewal Rates'!$A$22:$A$27,'Renewal Rates'!$B$22:$B$27,'Renewal Rates'!$B$27,0),'Renewal Rates'!$F$7),IF(A945="Renewal",100%,0%))</f>
        <v>2.6599999999999999E-2</v>
      </c>
      <c r="U945" s="68">
        <f t="shared" si="15"/>
        <v>7354.7936</v>
      </c>
    </row>
    <row r="946" spans="1:21" s="41" customFormat="1" ht="13.8" x14ac:dyDescent="0.3">
      <c r="A946" s="115" t="s">
        <v>21</v>
      </c>
      <c r="B946" s="116">
        <v>2000941228</v>
      </c>
      <c r="C946" s="116">
        <v>6.0090000000000003</v>
      </c>
      <c r="D946" s="117">
        <v>14.9</v>
      </c>
      <c r="E946" s="117"/>
      <c r="F946" s="117">
        <v>375</v>
      </c>
      <c r="G946" s="117">
        <v>825</v>
      </c>
      <c r="H946" s="123"/>
      <c r="I946" s="117" t="s">
        <v>122</v>
      </c>
      <c r="J946" s="115">
        <v>387</v>
      </c>
      <c r="K946" s="115" t="s">
        <v>23</v>
      </c>
      <c r="L946" s="117" t="s">
        <v>24</v>
      </c>
      <c r="M946" s="66">
        <v>91183</v>
      </c>
      <c r="N946" s="66">
        <v>6131</v>
      </c>
      <c r="O946" s="66">
        <v>31002</v>
      </c>
      <c r="P946" s="66">
        <v>122185</v>
      </c>
      <c r="Q946" s="67">
        <v>0.4</v>
      </c>
      <c r="R946" s="66">
        <v>48874</v>
      </c>
      <c r="S946" s="66">
        <v>171059</v>
      </c>
      <c r="T946" s="106">
        <f>IF(A946="Upgrade",IF(OR(H946=4,H946=5),_xlfn.XLOOKUP(I946,'Renewal Rates'!$A$22:$A$27,'Renewal Rates'!$B$22:$B$27,'Renewal Rates'!$B$27,0),'Renewal Rates'!$F$7),IF(A946="Renewal",100%,0%))</f>
        <v>2.6599999999999999E-2</v>
      </c>
      <c r="U946" s="68">
        <f t="shared" si="15"/>
        <v>4550.1693999999998</v>
      </c>
    </row>
    <row r="947" spans="1:21" s="41" customFormat="1" ht="13.8" x14ac:dyDescent="0.3">
      <c r="A947" s="115" t="s">
        <v>21</v>
      </c>
      <c r="B947" s="116">
        <v>2000015552</v>
      </c>
      <c r="C947" s="116">
        <v>6.0090000000000003</v>
      </c>
      <c r="D947" s="117">
        <v>50.6</v>
      </c>
      <c r="E947" s="117"/>
      <c r="F947" s="117">
        <v>375</v>
      </c>
      <c r="G947" s="117">
        <v>825</v>
      </c>
      <c r="H947" s="123"/>
      <c r="I947" s="117" t="s">
        <v>122</v>
      </c>
      <c r="J947" s="115">
        <v>387</v>
      </c>
      <c r="K947" s="115" t="s">
        <v>23</v>
      </c>
      <c r="L947" s="117" t="s">
        <v>24</v>
      </c>
      <c r="M947" s="66">
        <v>247446</v>
      </c>
      <c r="N947" s="66">
        <v>4888</v>
      </c>
      <c r="O947" s="66">
        <v>84132</v>
      </c>
      <c r="P947" s="66">
        <v>331578</v>
      </c>
      <c r="Q947" s="67">
        <v>0.4</v>
      </c>
      <c r="R947" s="66">
        <v>132631</v>
      </c>
      <c r="S947" s="66">
        <v>464209</v>
      </c>
      <c r="T947" s="106">
        <f>IF(A947="Upgrade",IF(OR(H947=4,H947=5),_xlfn.XLOOKUP(I947,'Renewal Rates'!$A$22:$A$27,'Renewal Rates'!$B$22:$B$27,'Renewal Rates'!$B$27,0),'Renewal Rates'!$F$7),IF(A947="Renewal",100%,0%))</f>
        <v>2.6599999999999999E-2</v>
      </c>
      <c r="U947" s="68">
        <f t="shared" si="15"/>
        <v>12347.9594</v>
      </c>
    </row>
    <row r="948" spans="1:21" s="41" customFormat="1" ht="13.8" x14ac:dyDescent="0.3">
      <c r="A948" s="115" t="s">
        <v>21</v>
      </c>
      <c r="B948" s="116">
        <v>2000750470</v>
      </c>
      <c r="C948" s="116">
        <v>6.0090000000000003</v>
      </c>
      <c r="D948" s="117">
        <v>80.2</v>
      </c>
      <c r="E948" s="117"/>
      <c r="F948" s="117">
        <v>375</v>
      </c>
      <c r="G948" s="117">
        <v>825</v>
      </c>
      <c r="H948" s="123"/>
      <c r="I948" s="117" t="s">
        <v>122</v>
      </c>
      <c r="J948" s="115">
        <v>387</v>
      </c>
      <c r="K948" s="115" t="s">
        <v>23</v>
      </c>
      <c r="L948" s="117" t="s">
        <v>24</v>
      </c>
      <c r="M948" s="66">
        <v>370295</v>
      </c>
      <c r="N948" s="66">
        <v>4616</v>
      </c>
      <c r="O948" s="66">
        <v>125900</v>
      </c>
      <c r="P948" s="66">
        <v>496195</v>
      </c>
      <c r="Q948" s="67">
        <v>0.4</v>
      </c>
      <c r="R948" s="66">
        <v>198478</v>
      </c>
      <c r="S948" s="66">
        <v>694673</v>
      </c>
      <c r="T948" s="106">
        <f>IF(A948="Upgrade",IF(OR(H948=4,H948=5),_xlfn.XLOOKUP(I948,'Renewal Rates'!$A$22:$A$27,'Renewal Rates'!$B$22:$B$27,'Renewal Rates'!$B$27,0),'Renewal Rates'!$F$7),IF(A948="Renewal",100%,0%))</f>
        <v>2.6599999999999999E-2</v>
      </c>
      <c r="U948" s="68">
        <f t="shared" si="15"/>
        <v>18478.301799999997</v>
      </c>
    </row>
    <row r="949" spans="1:21" s="41" customFormat="1" ht="13.8" x14ac:dyDescent="0.3">
      <c r="A949" s="115" t="s">
        <v>21</v>
      </c>
      <c r="B949" s="116">
        <v>2000227476</v>
      </c>
      <c r="C949" s="116">
        <v>6.0090000000000003</v>
      </c>
      <c r="D949" s="117">
        <v>80.2</v>
      </c>
      <c r="E949" s="117"/>
      <c r="F949" s="117">
        <v>375</v>
      </c>
      <c r="G949" s="117">
        <v>825</v>
      </c>
      <c r="H949" s="123"/>
      <c r="I949" s="117" t="s">
        <v>122</v>
      </c>
      <c r="J949" s="115">
        <v>387</v>
      </c>
      <c r="K949" s="115" t="s">
        <v>23</v>
      </c>
      <c r="L949" s="117" t="s">
        <v>24</v>
      </c>
      <c r="M949" s="66">
        <v>370263</v>
      </c>
      <c r="N949" s="66">
        <v>4617</v>
      </c>
      <c r="O949" s="66">
        <v>125889</v>
      </c>
      <c r="P949" s="66">
        <v>496153</v>
      </c>
      <c r="Q949" s="67">
        <v>0.4</v>
      </c>
      <c r="R949" s="66">
        <v>198461</v>
      </c>
      <c r="S949" s="66">
        <v>694614</v>
      </c>
      <c r="T949" s="106">
        <f>IF(A949="Upgrade",IF(OR(H949=4,H949=5),_xlfn.XLOOKUP(I949,'Renewal Rates'!$A$22:$A$27,'Renewal Rates'!$B$22:$B$27,'Renewal Rates'!$B$27,0),'Renewal Rates'!$F$7),IF(A949="Renewal",100%,0%))</f>
        <v>2.6599999999999999E-2</v>
      </c>
      <c r="U949" s="68">
        <f t="shared" si="15"/>
        <v>18476.732400000001</v>
      </c>
    </row>
    <row r="950" spans="1:21" s="41" customFormat="1" ht="13.8" x14ac:dyDescent="0.3">
      <c r="A950" s="115" t="s">
        <v>21</v>
      </c>
      <c r="B950" s="116">
        <v>2000758727</v>
      </c>
      <c r="C950" s="116">
        <v>6.0090000000000003</v>
      </c>
      <c r="D950" s="117">
        <v>16.3</v>
      </c>
      <c r="E950" s="117"/>
      <c r="F950" s="117">
        <v>225</v>
      </c>
      <c r="G950" s="117">
        <v>825</v>
      </c>
      <c r="H950" s="123"/>
      <c r="I950" s="117" t="s">
        <v>122</v>
      </c>
      <c r="J950" s="115">
        <v>387</v>
      </c>
      <c r="K950" s="115" t="s">
        <v>23</v>
      </c>
      <c r="L950" s="117" t="s">
        <v>24</v>
      </c>
      <c r="M950" s="66">
        <v>93423</v>
      </c>
      <c r="N950" s="66">
        <v>5717</v>
      </c>
      <c r="O950" s="66">
        <v>31764</v>
      </c>
      <c r="P950" s="66">
        <v>125186</v>
      </c>
      <c r="Q950" s="67">
        <v>0.4</v>
      </c>
      <c r="R950" s="66">
        <v>50075</v>
      </c>
      <c r="S950" s="66">
        <v>175261</v>
      </c>
      <c r="T950" s="106">
        <f>IF(A950="Upgrade",IF(OR(H950=4,H950=5),_xlfn.XLOOKUP(I950,'Renewal Rates'!$A$22:$A$27,'Renewal Rates'!$B$22:$B$27,'Renewal Rates'!$B$27,0),'Renewal Rates'!$F$7),IF(A950="Renewal",100%,0%))</f>
        <v>2.6599999999999999E-2</v>
      </c>
      <c r="U950" s="68">
        <f t="shared" si="15"/>
        <v>4661.9425999999994</v>
      </c>
    </row>
    <row r="951" spans="1:21" s="41" customFormat="1" ht="13.8" x14ac:dyDescent="0.3">
      <c r="A951" s="115" t="s">
        <v>25</v>
      </c>
      <c r="B951" s="116" t="s">
        <v>22</v>
      </c>
      <c r="C951" s="116">
        <v>6.0010000000000003</v>
      </c>
      <c r="D951" s="117"/>
      <c r="E951" s="117">
        <v>70.7</v>
      </c>
      <c r="F951" s="117"/>
      <c r="G951" s="117">
        <v>600</v>
      </c>
      <c r="H951" s="123"/>
      <c r="I951" s="117" t="s">
        <v>122</v>
      </c>
      <c r="J951" s="115">
        <v>387</v>
      </c>
      <c r="K951" s="115" t="s">
        <v>23</v>
      </c>
      <c r="L951" s="117" t="s">
        <v>24</v>
      </c>
      <c r="M951" s="66">
        <v>251611</v>
      </c>
      <c r="N951" s="66">
        <v>3559</v>
      </c>
      <c r="O951" s="66">
        <v>85548</v>
      </c>
      <c r="P951" s="66">
        <v>337159</v>
      </c>
      <c r="Q951" s="67">
        <v>0.4</v>
      </c>
      <c r="R951" s="66">
        <v>134864</v>
      </c>
      <c r="S951" s="66">
        <v>472023</v>
      </c>
      <c r="T951" s="106">
        <f>IF(A951="Upgrade",IF(OR(H951=4,H951=5),_xlfn.XLOOKUP(I951,'Renewal Rates'!$A$22:$A$27,'Renewal Rates'!$B$22:$B$27,'Renewal Rates'!$B$27,0),'Renewal Rates'!$F$7),IF(A951="Renewal",100%,0%))</f>
        <v>0</v>
      </c>
      <c r="U951" s="68">
        <f t="shared" si="15"/>
        <v>0</v>
      </c>
    </row>
    <row r="952" spans="1:21" s="41" customFormat="1" ht="13.8" x14ac:dyDescent="0.3">
      <c r="A952" s="115" t="s">
        <v>25</v>
      </c>
      <c r="B952" s="116" t="s">
        <v>22</v>
      </c>
      <c r="C952" s="116">
        <v>6.008</v>
      </c>
      <c r="D952" s="117"/>
      <c r="E952" s="117">
        <v>94.2</v>
      </c>
      <c r="F952" s="117"/>
      <c r="G952" s="117">
        <v>525</v>
      </c>
      <c r="H952" s="123"/>
      <c r="I952" s="117" t="s">
        <v>122</v>
      </c>
      <c r="J952" s="115">
        <v>387</v>
      </c>
      <c r="K952" s="115" t="s">
        <v>23</v>
      </c>
      <c r="L952" s="117" t="s">
        <v>24</v>
      </c>
      <c r="M952" s="66">
        <v>281092</v>
      </c>
      <c r="N952" s="66">
        <v>2984</v>
      </c>
      <c r="O952" s="66">
        <v>95571</v>
      </c>
      <c r="P952" s="66">
        <v>376664</v>
      </c>
      <c r="Q952" s="67">
        <v>0.4</v>
      </c>
      <c r="R952" s="66">
        <v>150665</v>
      </c>
      <c r="S952" s="66">
        <v>527329</v>
      </c>
      <c r="T952" s="106">
        <f>IF(A952="Upgrade",IF(OR(H952=4,H952=5),_xlfn.XLOOKUP(I952,'Renewal Rates'!$A$22:$A$27,'Renewal Rates'!$B$22:$B$27,'Renewal Rates'!$B$27,0),'Renewal Rates'!$F$7),IF(A952="Renewal",100%,0%))</f>
        <v>0</v>
      </c>
      <c r="U952" s="68">
        <f t="shared" si="15"/>
        <v>0</v>
      </c>
    </row>
    <row r="953" spans="1:21" s="41" customFormat="1" ht="13.8" x14ac:dyDescent="0.3">
      <c r="A953" s="115" t="s">
        <v>21</v>
      </c>
      <c r="B953" s="130">
        <v>2000540230</v>
      </c>
      <c r="C953" s="79"/>
      <c r="D953" s="133">
        <v>20.54</v>
      </c>
      <c r="E953" s="79"/>
      <c r="F953" s="117">
        <v>600</v>
      </c>
      <c r="G953" s="117">
        <v>1050</v>
      </c>
      <c r="H953" s="131">
        <v>4</v>
      </c>
      <c r="I953" s="117">
        <v>2</v>
      </c>
      <c r="J953" s="115">
        <v>374</v>
      </c>
      <c r="K953" s="79" t="s">
        <v>23</v>
      </c>
      <c r="L953" s="134" t="s">
        <v>24</v>
      </c>
      <c r="M953" s="55">
        <v>177462.47219999999</v>
      </c>
      <c r="N953" s="55">
        <v>8372.6512999999995</v>
      </c>
      <c r="O953" s="55">
        <v>60337.240548000002</v>
      </c>
      <c r="P953" s="55">
        <v>237799.71274799999</v>
      </c>
      <c r="Q953" s="56">
        <v>0.4</v>
      </c>
      <c r="R953" s="55">
        <v>95119.885099200008</v>
      </c>
      <c r="S953" s="55">
        <v>332919.5978472</v>
      </c>
      <c r="T953" s="106">
        <f>IF(A953="Upgrade",IF(OR(H953=4,H953=5),_xlfn.XLOOKUP(I953,'Renewal Rates'!$A$22:$A$27,'Renewal Rates'!$B$22:$B$27,'Renewal Rates'!$B$27,0),'Renewal Rates'!$F$7),IF(A953="Renewal",100%,0%))</f>
        <v>0</v>
      </c>
      <c r="U953" s="68">
        <f t="shared" si="15"/>
        <v>0</v>
      </c>
    </row>
    <row r="954" spans="1:21" s="41" customFormat="1" ht="13.8" x14ac:dyDescent="0.3">
      <c r="A954" s="115" t="s">
        <v>21</v>
      </c>
      <c r="B954" s="130">
        <v>2000422905</v>
      </c>
      <c r="C954" s="79"/>
      <c r="D954" s="133">
        <v>23.926919999999999</v>
      </c>
      <c r="E954" s="79"/>
      <c r="F954" s="117">
        <v>900</v>
      </c>
      <c r="G954" s="117">
        <v>2100</v>
      </c>
      <c r="H954" s="131" t="s">
        <v>122</v>
      </c>
      <c r="I954" s="117" t="s">
        <v>122</v>
      </c>
      <c r="J954" s="115">
        <v>387</v>
      </c>
      <c r="K954" s="79" t="s">
        <v>23</v>
      </c>
      <c r="L954" s="134" t="s">
        <v>24</v>
      </c>
      <c r="M954" s="55">
        <v>2116257.3116000001</v>
      </c>
      <c r="N954" s="55">
        <v>12513.1003</v>
      </c>
      <c r="O954" s="55">
        <v>719527.48594400007</v>
      </c>
      <c r="P954" s="55">
        <v>2835784.7975440002</v>
      </c>
      <c r="Q954" s="56">
        <v>0.4</v>
      </c>
      <c r="R954" s="55">
        <v>1134313.9190176001</v>
      </c>
      <c r="S954" s="55">
        <v>3970098.7165616006</v>
      </c>
      <c r="T954" s="106">
        <f>IF(A954="Upgrade",IF(OR(H954=4,H954=5),_xlfn.XLOOKUP(I954,'Renewal Rates'!$A$22:$A$27,'Renewal Rates'!$B$22:$B$27,'Renewal Rates'!$B$27,0),'Renewal Rates'!$F$7),IF(A954="Renewal",100%,0%))</f>
        <v>2.6599999999999999E-2</v>
      </c>
      <c r="U954" s="68">
        <f t="shared" si="15"/>
        <v>105604.62586053857</v>
      </c>
    </row>
    <row r="955" spans="1:21" s="41" customFormat="1" ht="13.8" x14ac:dyDescent="0.3">
      <c r="A955" s="79" t="s">
        <v>21</v>
      </c>
      <c r="B955" s="135">
        <v>2000797358</v>
      </c>
      <c r="C955" s="79"/>
      <c r="D955" s="100">
        <v>38.5</v>
      </c>
      <c r="E955" s="79"/>
      <c r="F955" s="134">
        <v>300</v>
      </c>
      <c r="G955" s="134">
        <v>525</v>
      </c>
      <c r="H955" s="52" t="s">
        <v>122</v>
      </c>
      <c r="I955" s="117" t="s">
        <v>122</v>
      </c>
      <c r="J955" s="79">
        <v>376</v>
      </c>
      <c r="K955" s="79" t="s">
        <v>23</v>
      </c>
      <c r="L955" s="134" t="s">
        <v>24</v>
      </c>
      <c r="M955" s="55">
        <v>116406.0993</v>
      </c>
      <c r="N955" s="55">
        <v>3023.8847000000001</v>
      </c>
      <c r="O955" s="55">
        <v>39578.073762</v>
      </c>
      <c r="P955" s="55">
        <v>155984.17306200002</v>
      </c>
      <c r="Q955" s="56">
        <v>0.4</v>
      </c>
      <c r="R955" s="55">
        <v>62393.669224800011</v>
      </c>
      <c r="S955" s="55">
        <v>218377.84228680003</v>
      </c>
      <c r="T955" s="106">
        <f>IF(A955="Upgrade",IF(OR(H955=4,H955=5),_xlfn.XLOOKUP(I955,'Renewal Rates'!$A$22:$A$27,'Renewal Rates'!$B$22:$B$27,'Renewal Rates'!$B$27,0),'Renewal Rates'!$F$7),IF(A955="Renewal",100%,0%))</f>
        <v>2.6599999999999999E-2</v>
      </c>
      <c r="U955" s="68">
        <f t="shared" si="15"/>
        <v>5808.8506048288809</v>
      </c>
    </row>
    <row r="956" spans="1:21" s="41" customFormat="1" ht="13.8" x14ac:dyDescent="0.3">
      <c r="A956" s="79" t="s">
        <v>21</v>
      </c>
      <c r="B956" s="135">
        <v>2000789295</v>
      </c>
      <c r="C956" s="79"/>
      <c r="D956" s="100">
        <v>1.91</v>
      </c>
      <c r="E956" s="79"/>
      <c r="F956" s="134">
        <v>300</v>
      </c>
      <c r="G956" s="134">
        <v>825</v>
      </c>
      <c r="H956" s="52" t="s">
        <v>122</v>
      </c>
      <c r="I956" s="117" t="s">
        <v>122</v>
      </c>
      <c r="J956" s="79">
        <v>387</v>
      </c>
      <c r="K956" s="79" t="s">
        <v>23</v>
      </c>
      <c r="L956" s="134" t="s">
        <v>24</v>
      </c>
      <c r="M956" s="55">
        <v>51991.621700000003</v>
      </c>
      <c r="N956" s="55">
        <v>27216.440999999999</v>
      </c>
      <c r="O956" s="55">
        <v>17677.151378000002</v>
      </c>
      <c r="P956" s="55">
        <v>69668.773077999998</v>
      </c>
      <c r="Q956" s="56">
        <v>0.4</v>
      </c>
      <c r="R956" s="55">
        <v>27867.509231200002</v>
      </c>
      <c r="S956" s="55">
        <v>97536.282309200004</v>
      </c>
      <c r="T956" s="106">
        <f>IF(A956="Upgrade",IF(OR(H956=4,H956=5),_xlfn.XLOOKUP(I956,'Renewal Rates'!$A$22:$A$27,'Renewal Rates'!$B$22:$B$27,'Renewal Rates'!$B$27,0),'Renewal Rates'!$F$7),IF(A956="Renewal",100%,0%))</f>
        <v>2.6599999999999999E-2</v>
      </c>
      <c r="U956" s="68">
        <f t="shared" si="15"/>
        <v>2594.4651094247201</v>
      </c>
    </row>
    <row r="957" spans="1:21" s="41" customFormat="1" ht="13.8" x14ac:dyDescent="0.3">
      <c r="A957" s="79" t="s">
        <v>21</v>
      </c>
      <c r="B957" s="135">
        <v>3000184293</v>
      </c>
      <c r="C957" s="79"/>
      <c r="D957" s="100">
        <v>1.4800819999999999</v>
      </c>
      <c r="E957" s="79"/>
      <c r="F957" s="134">
        <v>300</v>
      </c>
      <c r="G957" s="134">
        <v>975</v>
      </c>
      <c r="H957" s="52" t="s">
        <v>122</v>
      </c>
      <c r="I957" s="117" t="s">
        <v>122</v>
      </c>
      <c r="J957" s="79">
        <v>386</v>
      </c>
      <c r="K957" s="79" t="s">
        <v>23</v>
      </c>
      <c r="L957" s="134" t="s">
        <v>24</v>
      </c>
      <c r="M957" s="55">
        <v>69742.711200000005</v>
      </c>
      <c r="N957" s="55">
        <v>47120.842799999999</v>
      </c>
      <c r="O957" s="55">
        <v>23712.521808000005</v>
      </c>
      <c r="P957" s="55">
        <v>93455.23300800001</v>
      </c>
      <c r="Q957" s="56">
        <v>0.4</v>
      </c>
      <c r="R957" s="55">
        <v>37382.093203200006</v>
      </c>
      <c r="S957" s="55">
        <v>130837.32621120001</v>
      </c>
      <c r="T957" s="106">
        <f>IF(A957="Upgrade",IF(OR(H957=4,H957=5),_xlfn.XLOOKUP(I957,'Renewal Rates'!$A$22:$A$27,'Renewal Rates'!$B$22:$B$27,'Renewal Rates'!$B$27,0),'Renewal Rates'!$F$7),IF(A957="Renewal",100%,0%))</f>
        <v>2.6599999999999999E-2</v>
      </c>
      <c r="U957" s="68">
        <f t="shared" si="15"/>
        <v>3480.2728772179203</v>
      </c>
    </row>
    <row r="958" spans="1:21" s="41" customFormat="1" ht="13.8" x14ac:dyDescent="0.3">
      <c r="A958" s="79" t="s">
        <v>21</v>
      </c>
      <c r="B958" s="135">
        <v>2000455982</v>
      </c>
      <c r="C958" s="79"/>
      <c r="D958" s="100">
        <v>22.2</v>
      </c>
      <c r="E958" s="79"/>
      <c r="F958" s="134">
        <v>825</v>
      </c>
      <c r="G958" s="134">
        <v>1200</v>
      </c>
      <c r="H958" s="52"/>
      <c r="I958" s="117" t="s">
        <v>122</v>
      </c>
      <c r="J958" s="79">
        <v>377</v>
      </c>
      <c r="K958" s="79" t="s">
        <v>23</v>
      </c>
      <c r="L958" s="134" t="s">
        <v>24</v>
      </c>
      <c r="M958" s="55">
        <v>186102.57610000001</v>
      </c>
      <c r="N958" s="55">
        <v>8375.4534999999996</v>
      </c>
      <c r="O958" s="55">
        <v>63274.875874000005</v>
      </c>
      <c r="P958" s="55">
        <v>249377.45197400003</v>
      </c>
      <c r="Q958" s="56">
        <v>0.4</v>
      </c>
      <c r="R958" s="55">
        <v>99750.980789600013</v>
      </c>
      <c r="S958" s="55">
        <v>349128.43276360002</v>
      </c>
      <c r="T958" s="106">
        <f>IF(A958="Upgrade",IF(OR(H958=4,H958=5),_xlfn.XLOOKUP(I958,'Renewal Rates'!$A$22:$A$27,'Renewal Rates'!$B$22:$B$27,'Renewal Rates'!$B$27,0),'Renewal Rates'!$F$7),IF(A958="Renewal",100%,0%))</f>
        <v>2.6599999999999999E-2</v>
      </c>
      <c r="U958" s="68">
        <f t="shared" si="15"/>
        <v>9286.8163115117604</v>
      </c>
    </row>
    <row r="959" spans="1:21" s="41" customFormat="1" ht="13.8" x14ac:dyDescent="0.3">
      <c r="A959" s="79" t="s">
        <v>21</v>
      </c>
      <c r="B959" s="135">
        <v>2000285988</v>
      </c>
      <c r="C959" s="79"/>
      <c r="D959" s="100">
        <v>2.8</v>
      </c>
      <c r="E959" s="79"/>
      <c r="F959" s="134">
        <v>525</v>
      </c>
      <c r="G959" s="134">
        <v>675</v>
      </c>
      <c r="H959" s="52" t="s">
        <v>122</v>
      </c>
      <c r="I959" s="117" t="s">
        <v>122</v>
      </c>
      <c r="J959" s="79">
        <v>385</v>
      </c>
      <c r="K959" s="79" t="s">
        <v>23</v>
      </c>
      <c r="L959" s="134" t="s">
        <v>24</v>
      </c>
      <c r="M959" s="55">
        <v>53363.1204</v>
      </c>
      <c r="N959" s="55">
        <v>19058.257300000001</v>
      </c>
      <c r="O959" s="55">
        <v>18143.460935999999</v>
      </c>
      <c r="P959" s="55">
        <v>71506.581336000003</v>
      </c>
      <c r="Q959" s="56">
        <v>0.4</v>
      </c>
      <c r="R959" s="55">
        <v>28602.632534400003</v>
      </c>
      <c r="S959" s="55">
        <v>100109.21387040001</v>
      </c>
      <c r="T959" s="106">
        <f>IF(A959="Upgrade",IF(OR(H959=4,H959=5),_xlfn.XLOOKUP(I959,'Renewal Rates'!$A$22:$A$27,'Renewal Rates'!$B$22:$B$27,'Renewal Rates'!$B$27,0),'Renewal Rates'!$F$7),IF(A959="Renewal",100%,0%))</f>
        <v>2.6599999999999999E-2</v>
      </c>
      <c r="U959" s="68">
        <f t="shared" si="15"/>
        <v>2662.9050889526402</v>
      </c>
    </row>
    <row r="960" spans="1:21" s="41" customFormat="1" ht="13.8" x14ac:dyDescent="0.3">
      <c r="A960" s="101" t="s">
        <v>21</v>
      </c>
      <c r="B960" s="136">
        <v>2000715971</v>
      </c>
      <c r="C960" s="101"/>
      <c r="D960" s="101">
        <v>2.2000000000000002</v>
      </c>
      <c r="E960" s="101"/>
      <c r="F960" s="137">
        <v>375</v>
      </c>
      <c r="G960" s="137">
        <v>675</v>
      </c>
      <c r="H960" s="91" t="s">
        <v>122</v>
      </c>
      <c r="I960" s="138" t="s">
        <v>122</v>
      </c>
      <c r="J960" s="101">
        <v>385</v>
      </c>
      <c r="K960" s="101" t="s">
        <v>23</v>
      </c>
      <c r="L960" s="137" t="s">
        <v>24</v>
      </c>
      <c r="M960" s="95">
        <v>52636.871400000004</v>
      </c>
      <c r="N960" s="95">
        <v>24002.221399999999</v>
      </c>
      <c r="O960" s="95">
        <v>17896.536276000003</v>
      </c>
      <c r="P960" s="95">
        <v>70533.407676000003</v>
      </c>
      <c r="Q960" s="96">
        <v>0.4</v>
      </c>
      <c r="R960" s="95">
        <v>28213.363070400002</v>
      </c>
      <c r="S960" s="95">
        <v>98746.770746399998</v>
      </c>
      <c r="T960" s="106">
        <f>IF(A960="Upgrade",IF(OR(H960=4,H960=5),_xlfn.XLOOKUP(I960,'Renewal Rates'!$A$22:$A$27,'Renewal Rates'!$B$22:$B$27,'Renewal Rates'!$B$27,0),'Renewal Rates'!$F$7),IF(A960="Renewal",100%,0%))</f>
        <v>2.6599999999999999E-2</v>
      </c>
      <c r="U960" s="68">
        <f t="shared" si="15"/>
        <v>2626.66410185424</v>
      </c>
    </row>
    <row r="961" spans="11:12" s="41" customFormat="1" x14ac:dyDescent="0.3">
      <c r="K961"/>
      <c r="L961"/>
    </row>
    <row r="962" spans="11:12" s="41" customFormat="1" ht="13.8" x14ac:dyDescent="0.3"/>
    <row r="963" spans="11:12" s="41" customFormat="1" ht="13.8" x14ac:dyDescent="0.3"/>
    <row r="964" spans="11:12" s="41" customFormat="1" ht="13.8" x14ac:dyDescent="0.3"/>
    <row r="965" spans="11:12" s="41" customFormat="1" ht="13.8" x14ac:dyDescent="0.3"/>
    <row r="966" spans="11:12" s="41" customFormat="1" ht="13.8" x14ac:dyDescent="0.3"/>
    <row r="967" spans="11:12" s="41" customFormat="1" ht="13.8" x14ac:dyDescent="0.3"/>
    <row r="968" spans="11:12" s="41" customFormat="1" ht="13.8" x14ac:dyDescent="0.3"/>
    <row r="969" spans="11:12" s="41" customFormat="1" ht="13.8" x14ac:dyDescent="0.3"/>
    <row r="970" spans="11:12" s="41" customFormat="1" ht="13.8" x14ac:dyDescent="0.3"/>
    <row r="971" spans="11:12" s="41" customFormat="1" ht="13.8" x14ac:dyDescent="0.3"/>
    <row r="972" spans="11:12" s="41" customFormat="1" ht="13.8" x14ac:dyDescent="0.3"/>
    <row r="973" spans="11:12" s="41" customFormat="1" ht="13.8" x14ac:dyDescent="0.3"/>
    <row r="974" spans="11:12" s="41" customFormat="1" ht="13.8" x14ac:dyDescent="0.3"/>
    <row r="975" spans="11:12" s="41" customFormat="1" ht="13.8" x14ac:dyDescent="0.3"/>
    <row r="976" spans="11:12" s="41" customFormat="1" ht="13.8" x14ac:dyDescent="0.3"/>
    <row r="977" s="41" customFormat="1" ht="13.8" x14ac:dyDescent="0.3"/>
    <row r="978" s="41" customFormat="1" ht="13.8" x14ac:dyDescent="0.3"/>
    <row r="979" s="41" customFormat="1" ht="13.8" x14ac:dyDescent="0.3"/>
    <row r="980" s="41" customFormat="1" ht="13.8" x14ac:dyDescent="0.3"/>
    <row r="981" s="41" customFormat="1" ht="13.8" x14ac:dyDescent="0.3"/>
    <row r="982" s="41" customFormat="1" ht="13.8" x14ac:dyDescent="0.3"/>
    <row r="983" s="41" customFormat="1" ht="13.8" x14ac:dyDescent="0.3"/>
    <row r="984" s="41" customFormat="1" ht="13.8" x14ac:dyDescent="0.3"/>
    <row r="985" s="41" customFormat="1" ht="13.8" x14ac:dyDescent="0.3"/>
    <row r="986" s="41" customFormat="1" ht="13.8" x14ac:dyDescent="0.3"/>
    <row r="987" s="41" customFormat="1" ht="13.8" x14ac:dyDescent="0.3"/>
    <row r="988" s="41" customFormat="1" ht="13.8" x14ac:dyDescent="0.3"/>
    <row r="989" s="41" customFormat="1" ht="13.8" x14ac:dyDescent="0.3"/>
    <row r="990" s="41" customFormat="1" ht="13.8" x14ac:dyDescent="0.3"/>
    <row r="991" s="41" customFormat="1" ht="13.8" x14ac:dyDescent="0.3"/>
    <row r="992" s="41" customFormat="1" ht="13.8" x14ac:dyDescent="0.3"/>
    <row r="993" s="41" customFormat="1" ht="13.8" x14ac:dyDescent="0.3"/>
    <row r="994" s="41" customFormat="1" ht="13.8" x14ac:dyDescent="0.3"/>
    <row r="995" s="41" customFormat="1" ht="13.8" x14ac:dyDescent="0.3"/>
    <row r="996" s="41" customFormat="1" ht="13.8" x14ac:dyDescent="0.3"/>
    <row r="997" s="41" customFormat="1" ht="13.8" x14ac:dyDescent="0.3"/>
    <row r="998" s="41" customFormat="1" ht="13.8" x14ac:dyDescent="0.3"/>
    <row r="999" s="41" customFormat="1" ht="13.8" x14ac:dyDescent="0.3"/>
    <row r="1000" s="41" customFormat="1" ht="13.8" x14ac:dyDescent="0.3"/>
    <row r="1001" s="41" customFormat="1" ht="13.8" x14ac:dyDescent="0.3"/>
    <row r="1002" s="41" customFormat="1" ht="13.8" x14ac:dyDescent="0.3"/>
    <row r="1003" s="41" customFormat="1" ht="13.8" x14ac:dyDescent="0.3"/>
    <row r="1004" s="41" customFormat="1" ht="13.8" x14ac:dyDescent="0.3"/>
    <row r="1005" s="41" customFormat="1" ht="13.8" x14ac:dyDescent="0.3"/>
    <row r="1006" s="41" customFormat="1" ht="13.8" x14ac:dyDescent="0.3"/>
    <row r="1007" s="41" customFormat="1" ht="13.8" x14ac:dyDescent="0.3"/>
    <row r="1008" s="41" customFormat="1" ht="13.8" x14ac:dyDescent="0.3"/>
    <row r="1009" s="41" customFormat="1" ht="13.8" x14ac:dyDescent="0.3"/>
    <row r="1010" s="41" customFormat="1" ht="13.8" x14ac:dyDescent="0.3"/>
    <row r="1011" s="41" customFormat="1" ht="13.8" x14ac:dyDescent="0.3"/>
    <row r="1012" s="41" customFormat="1" ht="13.8" x14ac:dyDescent="0.3"/>
    <row r="1013" s="41" customFormat="1" ht="13.8" x14ac:dyDescent="0.3"/>
    <row r="1014" s="41" customFormat="1" ht="13.8" x14ac:dyDescent="0.3"/>
    <row r="1015" s="41" customFormat="1" ht="13.8" x14ac:dyDescent="0.3"/>
    <row r="1016" s="41" customFormat="1" ht="13.8" x14ac:dyDescent="0.3"/>
    <row r="1017" s="41" customFormat="1" ht="13.8" x14ac:dyDescent="0.3"/>
    <row r="1018" s="41" customFormat="1" ht="13.8" x14ac:dyDescent="0.3"/>
    <row r="1019" s="41" customFormat="1" ht="13.8" x14ac:dyDescent="0.3"/>
    <row r="1020" s="41" customFormat="1" ht="13.8" x14ac:dyDescent="0.3"/>
    <row r="1021" s="41" customFormat="1" ht="13.8" x14ac:dyDescent="0.3"/>
    <row r="1022" s="41" customFormat="1" ht="13.8" x14ac:dyDescent="0.3"/>
    <row r="1023" s="41" customFormat="1" ht="13.8" x14ac:dyDescent="0.3"/>
    <row r="1024" s="41" customFormat="1" ht="13.8" x14ac:dyDescent="0.3"/>
    <row r="1025" spans="1:19" s="41" customFormat="1" ht="13.8" x14ac:dyDescent="0.3"/>
    <row r="1026" spans="1:19" s="41" customFormat="1" ht="13.8" x14ac:dyDescent="0.3"/>
    <row r="1027" spans="1:19" s="41" customFormat="1" ht="13.8" x14ac:dyDescent="0.3"/>
    <row r="1028" spans="1:19" s="41" customFormat="1" ht="13.8" x14ac:dyDescent="0.3"/>
    <row r="1029" spans="1:19" s="41" customFormat="1" ht="13.8" x14ac:dyDescent="0.3"/>
    <row r="1030" spans="1:19" s="41" customFormat="1" ht="13.8" x14ac:dyDescent="0.3"/>
    <row r="1031" spans="1:19" s="41" customFormat="1" ht="13.8" x14ac:dyDescent="0.3"/>
    <row r="1032" spans="1:19" s="41" customFormat="1" ht="13.8" x14ac:dyDescent="0.3"/>
    <row r="1033" spans="1:19" s="41" customFormat="1" ht="13.8" x14ac:dyDescent="0.3"/>
    <row r="1034" spans="1:19" s="41" customFormat="1" ht="13.8" x14ac:dyDescent="0.3"/>
    <row r="1035" spans="1:19" s="41" customFormat="1" ht="13.8" x14ac:dyDescent="0.3"/>
    <row r="1036" spans="1:19" s="41" customFormat="1" ht="13.8" x14ac:dyDescent="0.3"/>
    <row r="1037" spans="1:19" s="41" customFormat="1" ht="13.8" x14ac:dyDescent="0.3"/>
    <row r="1038" spans="1:19" s="41" customFormat="1" ht="13.8" x14ac:dyDescent="0.3"/>
    <row r="1039" spans="1:19" s="41" customFormat="1" ht="13.8" x14ac:dyDescent="0.3"/>
    <row r="1040" spans="1:19" x14ac:dyDescent="0.3">
      <c r="A1040" s="41"/>
      <c r="B1040" s="41"/>
      <c r="C1040" s="41"/>
      <c r="D1040" s="41"/>
      <c r="E1040" s="41"/>
      <c r="F1040" s="41"/>
      <c r="G1040" s="41"/>
      <c r="H1040" s="41"/>
      <c r="I1040" s="41"/>
      <c r="J1040" s="41"/>
      <c r="K1040" s="41"/>
      <c r="L1040" s="41"/>
      <c r="M1040" s="41"/>
      <c r="N1040" s="41"/>
      <c r="O1040" s="41"/>
      <c r="P1040" s="41"/>
      <c r="Q1040" s="41"/>
      <c r="R1040" s="41"/>
      <c r="S1040" s="41"/>
    </row>
    <row r="1041" spans="1:19" x14ac:dyDescent="0.3">
      <c r="A1041" s="41"/>
      <c r="B1041" s="41"/>
      <c r="C1041" s="41"/>
      <c r="D1041" s="41"/>
      <c r="E1041" s="41"/>
      <c r="F1041" s="41"/>
      <c r="G1041" s="41"/>
      <c r="H1041" s="41"/>
      <c r="I1041" s="41"/>
      <c r="J1041" s="41"/>
      <c r="K1041" s="41"/>
      <c r="L1041" s="41"/>
      <c r="M1041" s="41"/>
      <c r="N1041" s="41"/>
      <c r="O1041" s="41"/>
      <c r="P1041" s="41"/>
      <c r="Q1041" s="41"/>
      <c r="R1041" s="41"/>
      <c r="S1041" s="41"/>
    </row>
    <row r="1042" spans="1:19" x14ac:dyDescent="0.3">
      <c r="A1042" s="41"/>
      <c r="B1042" s="41"/>
      <c r="C1042" s="41"/>
      <c r="D1042" s="41"/>
      <c r="E1042" s="41"/>
      <c r="F1042" s="41"/>
      <c r="G1042" s="41"/>
      <c r="H1042" s="41"/>
      <c r="I1042" s="41"/>
      <c r="J1042" s="41"/>
      <c r="K1042" s="41"/>
      <c r="L1042" s="41"/>
      <c r="M1042" s="41"/>
      <c r="N1042" s="41"/>
      <c r="O1042" s="41"/>
      <c r="P1042" s="41"/>
      <c r="Q1042" s="41"/>
      <c r="R1042" s="41"/>
      <c r="S1042" s="41"/>
    </row>
    <row r="1043" spans="1:19" x14ac:dyDescent="0.3">
      <c r="A1043" s="41"/>
      <c r="B1043" s="41"/>
      <c r="C1043" s="41"/>
      <c r="D1043" s="41"/>
      <c r="E1043" s="41"/>
      <c r="F1043" s="41"/>
      <c r="G1043" s="41"/>
      <c r="H1043" s="41"/>
      <c r="I1043" s="41"/>
      <c r="J1043" s="41"/>
      <c r="K1043" s="41"/>
      <c r="L1043" s="41"/>
      <c r="M1043" s="41"/>
      <c r="N1043" s="41"/>
      <c r="O1043" s="41"/>
      <c r="P1043" s="41"/>
      <c r="Q1043" s="41"/>
      <c r="R1043" s="41"/>
      <c r="S1043" s="41"/>
    </row>
    <row r="1044" spans="1:19" x14ac:dyDescent="0.3">
      <c r="A1044" s="41"/>
      <c r="B1044" s="41"/>
      <c r="C1044" s="41"/>
      <c r="D1044" s="41"/>
      <c r="E1044" s="41"/>
      <c r="F1044" s="41"/>
      <c r="G1044" s="41"/>
      <c r="H1044" s="41"/>
      <c r="I1044" s="41"/>
      <c r="J1044" s="41"/>
      <c r="K1044" s="41"/>
      <c r="L1044" s="41"/>
      <c r="M1044" s="41"/>
      <c r="N1044" s="41"/>
      <c r="O1044" s="41"/>
      <c r="P1044" s="41"/>
      <c r="Q1044" s="41"/>
      <c r="R1044" s="41"/>
      <c r="S1044" s="41"/>
    </row>
    <row r="1045" spans="1:19" x14ac:dyDescent="0.3">
      <c r="A1045" s="41"/>
      <c r="B1045" s="41"/>
      <c r="C1045" s="41"/>
      <c r="D1045" s="41"/>
      <c r="E1045" s="41"/>
      <c r="F1045" s="41"/>
      <c r="G1045" s="41"/>
      <c r="H1045" s="41"/>
      <c r="I1045" s="41"/>
      <c r="J1045" s="41"/>
      <c r="K1045" s="41"/>
      <c r="L1045" s="41"/>
      <c r="M1045" s="41"/>
      <c r="N1045" s="41"/>
      <c r="O1045" s="41"/>
      <c r="P1045" s="41"/>
      <c r="Q1045" s="41"/>
      <c r="R1045" s="41"/>
      <c r="S1045" s="41"/>
    </row>
    <row r="1046" spans="1:19" x14ac:dyDescent="0.3">
      <c r="A1046" s="41"/>
      <c r="B1046" s="41"/>
      <c r="C1046" s="41"/>
      <c r="D1046" s="41"/>
      <c r="E1046" s="41"/>
      <c r="F1046" s="41"/>
      <c r="G1046" s="41"/>
      <c r="H1046" s="41"/>
      <c r="I1046" s="41"/>
      <c r="J1046" s="41"/>
      <c r="K1046" s="41"/>
      <c r="L1046" s="41"/>
      <c r="M1046" s="41"/>
      <c r="N1046" s="41"/>
      <c r="O1046" s="41"/>
      <c r="P1046" s="41"/>
      <c r="Q1046" s="41"/>
      <c r="R1046" s="41"/>
      <c r="S1046" s="41"/>
    </row>
    <row r="1047" spans="1:19" x14ac:dyDescent="0.3">
      <c r="A1047" s="41"/>
      <c r="B1047" s="41"/>
      <c r="C1047" s="41"/>
      <c r="D1047" s="41"/>
      <c r="E1047" s="41"/>
      <c r="F1047" s="41"/>
      <c r="G1047" s="41"/>
      <c r="H1047" s="41"/>
      <c r="I1047" s="41"/>
      <c r="J1047" s="41"/>
      <c r="K1047" s="41"/>
      <c r="L1047" s="41"/>
      <c r="M1047" s="41"/>
      <c r="N1047" s="41"/>
      <c r="O1047" s="41"/>
      <c r="P1047" s="41"/>
      <c r="Q1047" s="41"/>
      <c r="R1047" s="41"/>
      <c r="S1047" s="41"/>
    </row>
    <row r="1048" spans="1:19" x14ac:dyDescent="0.3">
      <c r="A1048" s="41"/>
      <c r="B1048" s="41"/>
      <c r="C1048" s="41"/>
      <c r="D1048" s="41"/>
      <c r="E1048" s="41"/>
      <c r="F1048" s="41"/>
      <c r="G1048" s="41"/>
      <c r="H1048" s="41"/>
      <c r="I1048" s="41"/>
      <c r="J1048" s="41"/>
      <c r="K1048" s="41"/>
      <c r="L1048" s="41"/>
      <c r="M1048" s="41"/>
      <c r="N1048" s="41"/>
      <c r="O1048" s="41"/>
      <c r="P1048" s="41"/>
      <c r="Q1048" s="41"/>
      <c r="R1048" s="41"/>
      <c r="S1048" s="41"/>
    </row>
    <row r="1049" spans="1:19" x14ac:dyDescent="0.3">
      <c r="A1049" s="41"/>
      <c r="B1049" s="41"/>
      <c r="C1049" s="41"/>
      <c r="D1049" s="41"/>
      <c r="E1049" s="41"/>
      <c r="F1049" s="41"/>
      <c r="G1049" s="41"/>
      <c r="H1049" s="41"/>
      <c r="I1049" s="41"/>
      <c r="J1049" s="41"/>
      <c r="K1049" s="41"/>
      <c r="L1049" s="41"/>
      <c r="M1049" s="41"/>
      <c r="N1049" s="41"/>
      <c r="O1049" s="41"/>
      <c r="P1049" s="41"/>
      <c r="Q1049" s="41"/>
      <c r="R1049" s="41"/>
      <c r="S1049" s="41"/>
    </row>
    <row r="1050" spans="1:19" x14ac:dyDescent="0.3">
      <c r="A1050" s="41"/>
      <c r="B1050" s="41"/>
      <c r="C1050" s="41"/>
      <c r="D1050" s="41"/>
      <c r="E1050" s="41"/>
      <c r="F1050" s="41"/>
      <c r="G1050" s="41"/>
      <c r="H1050" s="41"/>
      <c r="I1050" s="41"/>
      <c r="J1050" s="41"/>
      <c r="K1050" s="41"/>
      <c r="L1050" s="41"/>
      <c r="M1050" s="41"/>
      <c r="N1050" s="41"/>
      <c r="O1050" s="41"/>
      <c r="P1050" s="41"/>
      <c r="Q1050" s="41"/>
      <c r="R1050" s="41"/>
      <c r="S1050" s="41"/>
    </row>
    <row r="1051" spans="1:19" x14ac:dyDescent="0.3">
      <c r="A1051" s="41"/>
      <c r="B1051" s="41"/>
      <c r="C1051" s="41"/>
      <c r="D1051" s="41"/>
      <c r="E1051" s="41"/>
      <c r="F1051" s="41"/>
      <c r="G1051" s="41"/>
      <c r="H1051" s="41"/>
      <c r="I1051" s="41"/>
      <c r="J1051" s="41"/>
      <c r="K1051" s="41"/>
      <c r="L1051" s="41"/>
      <c r="M1051" s="41"/>
      <c r="N1051" s="41"/>
      <c r="O1051" s="41"/>
      <c r="P1051" s="41"/>
      <c r="Q1051" s="41"/>
      <c r="R1051" s="41"/>
      <c r="S1051" s="41"/>
    </row>
    <row r="1052" spans="1:19" x14ac:dyDescent="0.3">
      <c r="A1052" s="41"/>
      <c r="B1052" s="41"/>
      <c r="C1052" s="41"/>
      <c r="D1052" s="41"/>
      <c r="E1052" s="41"/>
      <c r="F1052" s="41"/>
      <c r="G1052" s="41"/>
      <c r="H1052" s="41"/>
      <c r="I1052" s="41"/>
      <c r="J1052" s="41"/>
      <c r="K1052" s="41"/>
      <c r="L1052" s="41"/>
      <c r="M1052" s="41"/>
      <c r="N1052" s="41"/>
      <c r="O1052" s="41"/>
      <c r="P1052" s="41"/>
      <c r="Q1052" s="41"/>
      <c r="R1052" s="41"/>
      <c r="S1052" s="41"/>
    </row>
    <row r="1053" spans="1:19" x14ac:dyDescent="0.3">
      <c r="A1053" s="41"/>
      <c r="B1053" s="41"/>
      <c r="C1053" s="41"/>
      <c r="D1053" s="41"/>
      <c r="E1053" s="41"/>
      <c r="F1053" s="41"/>
      <c r="G1053" s="41"/>
      <c r="H1053" s="41"/>
      <c r="I1053" s="41"/>
      <c r="J1053" s="41"/>
      <c r="K1053" s="41"/>
      <c r="L1053" s="41"/>
      <c r="M1053" s="41"/>
      <c r="N1053" s="41"/>
      <c r="O1053" s="41"/>
      <c r="P1053" s="41"/>
      <c r="Q1053" s="41"/>
      <c r="R1053" s="41"/>
      <c r="S1053" s="41"/>
    </row>
    <row r="1054" spans="1:19" x14ac:dyDescent="0.3">
      <c r="A1054" s="41"/>
      <c r="B1054" s="41"/>
      <c r="C1054" s="41"/>
      <c r="D1054" s="41"/>
      <c r="E1054" s="41"/>
      <c r="F1054" s="41"/>
      <c r="G1054" s="41"/>
      <c r="H1054" s="41"/>
      <c r="I1054" s="41"/>
      <c r="J1054" s="41"/>
      <c r="K1054" s="41"/>
      <c r="L1054" s="41"/>
      <c r="M1054" s="41"/>
      <c r="N1054" s="41"/>
      <c r="O1054" s="41"/>
      <c r="P1054" s="41"/>
      <c r="Q1054" s="41"/>
      <c r="R1054" s="41"/>
      <c r="S1054" s="41"/>
    </row>
    <row r="1055" spans="1:19" x14ac:dyDescent="0.3">
      <c r="A1055" s="41"/>
      <c r="B1055" s="41"/>
      <c r="C1055" s="41"/>
      <c r="D1055" s="41"/>
      <c r="E1055" s="41"/>
      <c r="F1055" s="41"/>
      <c r="G1055" s="41"/>
      <c r="H1055" s="41"/>
      <c r="I1055" s="41"/>
      <c r="J1055" s="41"/>
      <c r="K1055" s="41"/>
      <c r="L1055" s="41"/>
      <c r="M1055" s="41"/>
      <c r="N1055" s="41"/>
      <c r="O1055" s="41"/>
      <c r="P1055" s="41"/>
      <c r="Q1055" s="41"/>
      <c r="R1055" s="41"/>
      <c r="S1055" s="41"/>
    </row>
    <row r="1056" spans="1:19" x14ac:dyDescent="0.3">
      <c r="A1056" s="41"/>
      <c r="B1056" s="41"/>
      <c r="C1056" s="41"/>
      <c r="D1056" s="41"/>
      <c r="E1056" s="41"/>
      <c r="F1056" s="41"/>
      <c r="G1056" s="41"/>
      <c r="H1056" s="41"/>
      <c r="I1056" s="41"/>
      <c r="J1056" s="41"/>
      <c r="K1056" s="41"/>
      <c r="L1056" s="41"/>
      <c r="M1056" s="41"/>
      <c r="N1056" s="41"/>
      <c r="O1056" s="41"/>
      <c r="P1056" s="41"/>
      <c r="Q1056" s="41"/>
      <c r="R1056" s="41"/>
      <c r="S1056" s="41"/>
    </row>
    <row r="1057" spans="1:19" x14ac:dyDescent="0.3">
      <c r="A1057" s="41"/>
      <c r="B1057" s="41"/>
      <c r="C1057" s="41"/>
      <c r="D1057" s="41"/>
      <c r="E1057" s="41"/>
      <c r="F1057" s="41"/>
      <c r="G1057" s="41"/>
      <c r="H1057" s="41"/>
      <c r="I1057" s="41"/>
      <c r="J1057" s="41"/>
      <c r="K1057" s="41"/>
      <c r="L1057" s="41"/>
      <c r="M1057" s="41"/>
      <c r="N1057" s="41"/>
      <c r="O1057" s="41"/>
      <c r="P1057" s="41"/>
      <c r="Q1057" s="41"/>
      <c r="R1057" s="41"/>
      <c r="S1057" s="41"/>
    </row>
    <row r="1058" spans="1:19" x14ac:dyDescent="0.3">
      <c r="A1058" s="41"/>
      <c r="B1058" s="41"/>
      <c r="C1058" s="41"/>
      <c r="D1058" s="41"/>
      <c r="E1058" s="41"/>
      <c r="F1058" s="41"/>
      <c r="G1058" s="41"/>
      <c r="H1058" s="41"/>
      <c r="I1058" s="41"/>
      <c r="J1058" s="41"/>
      <c r="K1058" s="41"/>
      <c r="L1058" s="41"/>
      <c r="M1058" s="41"/>
      <c r="N1058" s="41"/>
      <c r="O1058" s="41"/>
      <c r="P1058" s="41"/>
      <c r="Q1058" s="41"/>
      <c r="R1058" s="41"/>
      <c r="S1058" s="41"/>
    </row>
    <row r="1059" spans="1:19" x14ac:dyDescent="0.3">
      <c r="A1059" s="41"/>
      <c r="B1059" s="41"/>
      <c r="C1059" s="41"/>
      <c r="D1059" s="41"/>
      <c r="E1059" s="41"/>
      <c r="F1059" s="41"/>
      <c r="G1059" s="41"/>
      <c r="H1059" s="41"/>
      <c r="I1059" s="41"/>
      <c r="J1059" s="41"/>
      <c r="K1059" s="41"/>
      <c r="L1059" s="41"/>
      <c r="M1059" s="41"/>
      <c r="N1059" s="41"/>
      <c r="O1059" s="41"/>
      <c r="P1059" s="41"/>
      <c r="Q1059" s="41"/>
      <c r="R1059" s="41"/>
      <c r="S1059" s="41"/>
    </row>
    <row r="1060" spans="1:19" x14ac:dyDescent="0.3">
      <c r="A1060" s="41"/>
      <c r="B1060" s="41"/>
      <c r="C1060" s="41"/>
      <c r="D1060" s="41"/>
      <c r="E1060" s="41"/>
      <c r="F1060" s="41"/>
      <c r="G1060" s="41"/>
      <c r="H1060" s="41"/>
      <c r="I1060" s="41"/>
      <c r="J1060" s="41"/>
      <c r="K1060" s="41"/>
      <c r="L1060" s="41"/>
      <c r="M1060" s="41"/>
      <c r="N1060" s="41"/>
      <c r="O1060" s="41"/>
      <c r="P1060" s="41"/>
      <c r="Q1060" s="41"/>
      <c r="R1060" s="41"/>
      <c r="S1060" s="41"/>
    </row>
    <row r="1061" spans="1:19" x14ac:dyDescent="0.3">
      <c r="A1061" s="41"/>
      <c r="B1061" s="41"/>
      <c r="C1061" s="41"/>
      <c r="D1061" s="41"/>
      <c r="E1061" s="41"/>
      <c r="F1061" s="41"/>
      <c r="G1061" s="41"/>
      <c r="H1061" s="41"/>
      <c r="I1061" s="41"/>
      <c r="J1061" s="41"/>
      <c r="K1061" s="41"/>
      <c r="L1061" s="41"/>
      <c r="M1061" s="41"/>
      <c r="N1061" s="41"/>
      <c r="O1061" s="41"/>
      <c r="P1061" s="41"/>
      <c r="Q1061" s="41"/>
      <c r="R1061" s="41"/>
      <c r="S1061" s="41"/>
    </row>
    <row r="1062" spans="1:19" x14ac:dyDescent="0.3">
      <c r="A1062" s="41"/>
      <c r="B1062" s="41"/>
      <c r="C1062" s="41"/>
      <c r="D1062" s="41"/>
      <c r="E1062" s="41"/>
      <c r="F1062" s="41"/>
      <c r="G1062" s="41"/>
      <c r="H1062" s="41"/>
      <c r="I1062" s="41"/>
      <c r="J1062" s="41"/>
      <c r="K1062" s="41"/>
      <c r="L1062" s="41"/>
      <c r="M1062" s="41"/>
      <c r="N1062" s="41"/>
      <c r="O1062" s="41"/>
      <c r="P1062" s="41"/>
      <c r="Q1062" s="41"/>
      <c r="R1062" s="41"/>
      <c r="S1062" s="41"/>
    </row>
    <row r="1063" spans="1:19" x14ac:dyDescent="0.3">
      <c r="A1063" s="41"/>
      <c r="B1063" s="41"/>
      <c r="C1063" s="41"/>
      <c r="D1063" s="41"/>
      <c r="E1063" s="41"/>
      <c r="F1063" s="41"/>
      <c r="G1063" s="41"/>
      <c r="H1063" s="41"/>
      <c r="I1063" s="41"/>
      <c r="J1063" s="41"/>
      <c r="K1063" s="41"/>
      <c r="L1063" s="41"/>
      <c r="M1063" s="41"/>
      <c r="N1063" s="41"/>
      <c r="O1063" s="41"/>
      <c r="P1063" s="41"/>
      <c r="Q1063" s="41"/>
      <c r="R1063" s="41"/>
      <c r="S1063" s="41"/>
    </row>
    <row r="1064" spans="1:19" x14ac:dyDescent="0.3">
      <c r="A1064" s="41"/>
      <c r="B1064" s="41"/>
      <c r="C1064" s="41"/>
      <c r="D1064" s="41"/>
      <c r="E1064" s="41"/>
      <c r="F1064" s="41"/>
      <c r="G1064" s="41"/>
      <c r="H1064" s="41"/>
      <c r="I1064" s="41"/>
      <c r="J1064" s="41"/>
      <c r="K1064" s="41"/>
      <c r="L1064" s="41"/>
      <c r="M1064" s="41"/>
      <c r="N1064" s="41"/>
      <c r="O1064" s="41"/>
      <c r="P1064" s="41"/>
      <c r="Q1064" s="41"/>
      <c r="R1064" s="41"/>
      <c r="S1064" s="41"/>
    </row>
    <row r="1065" spans="1:19" x14ac:dyDescent="0.3">
      <c r="A1065" s="41"/>
      <c r="B1065" s="41"/>
      <c r="C1065" s="41"/>
      <c r="D1065" s="41"/>
      <c r="E1065" s="41"/>
      <c r="F1065" s="41"/>
      <c r="G1065" s="41"/>
      <c r="H1065" s="41"/>
      <c r="I1065" s="41"/>
      <c r="J1065" s="41"/>
      <c r="K1065" s="41"/>
      <c r="L1065" s="41"/>
      <c r="M1065" s="41"/>
      <c r="N1065" s="41"/>
      <c r="O1065" s="41"/>
      <c r="P1065" s="41"/>
      <c r="Q1065" s="41"/>
      <c r="R1065" s="41"/>
      <c r="S1065" s="41"/>
    </row>
    <row r="1066" spans="1:19" x14ac:dyDescent="0.3">
      <c r="A1066" s="41"/>
      <c r="B1066" s="41"/>
      <c r="C1066" s="41"/>
      <c r="D1066" s="41"/>
      <c r="E1066" s="41"/>
      <c r="F1066" s="41"/>
      <c r="G1066" s="41"/>
      <c r="H1066" s="41"/>
      <c r="I1066" s="41"/>
      <c r="J1066" s="41"/>
      <c r="K1066" s="41"/>
      <c r="L1066" s="41"/>
      <c r="M1066" s="41"/>
      <c r="N1066" s="41"/>
      <c r="O1066" s="41"/>
      <c r="P1066" s="41"/>
      <c r="Q1066" s="41"/>
      <c r="R1066" s="41"/>
      <c r="S1066" s="41"/>
    </row>
    <row r="1067" spans="1:19" x14ac:dyDescent="0.3">
      <c r="A1067" s="41"/>
      <c r="B1067" s="41"/>
      <c r="C1067" s="41"/>
      <c r="D1067" s="41"/>
      <c r="E1067" s="41"/>
      <c r="F1067" s="41"/>
      <c r="G1067" s="41"/>
      <c r="H1067" s="41"/>
      <c r="I1067" s="41"/>
      <c r="J1067" s="41"/>
      <c r="K1067" s="41"/>
      <c r="L1067" s="41"/>
      <c r="M1067" s="41"/>
      <c r="N1067" s="41"/>
      <c r="O1067" s="41"/>
      <c r="P1067" s="41"/>
      <c r="Q1067" s="41"/>
      <c r="R1067" s="41"/>
      <c r="S1067" s="41"/>
    </row>
    <row r="1068" spans="1:19" x14ac:dyDescent="0.3">
      <c r="A1068" s="41"/>
      <c r="B1068" s="41"/>
      <c r="C1068" s="41"/>
      <c r="D1068" s="41"/>
      <c r="E1068" s="41"/>
      <c r="F1068" s="41"/>
      <c r="G1068" s="41"/>
      <c r="H1068" s="41"/>
      <c r="I1068" s="41"/>
      <c r="J1068" s="41"/>
      <c r="K1068" s="41"/>
      <c r="L1068" s="41"/>
      <c r="M1068" s="41"/>
      <c r="N1068" s="41"/>
      <c r="O1068" s="41"/>
      <c r="P1068" s="41"/>
      <c r="Q1068" s="41"/>
      <c r="R1068" s="41"/>
      <c r="S1068" s="41"/>
    </row>
    <row r="1069" spans="1:19" x14ac:dyDescent="0.3">
      <c r="A1069" s="41"/>
      <c r="B1069" s="41"/>
      <c r="C1069" s="41"/>
      <c r="D1069" s="41"/>
      <c r="E1069" s="41"/>
      <c r="F1069" s="41"/>
      <c r="G1069" s="41"/>
      <c r="H1069" s="41"/>
      <c r="I1069" s="41"/>
      <c r="J1069" s="41"/>
      <c r="K1069" s="41"/>
      <c r="L1069" s="41"/>
      <c r="M1069" s="41"/>
      <c r="N1069" s="41"/>
      <c r="O1069" s="41"/>
      <c r="P1069" s="41"/>
      <c r="Q1069" s="41"/>
      <c r="R1069" s="41"/>
      <c r="S1069" s="41"/>
    </row>
    <row r="1070" spans="1:19" x14ac:dyDescent="0.3">
      <c r="A1070" s="41"/>
      <c r="B1070" s="41"/>
      <c r="C1070" s="41"/>
      <c r="D1070" s="41"/>
      <c r="E1070" s="41"/>
      <c r="F1070" s="41"/>
      <c r="G1070" s="41"/>
      <c r="H1070" s="41"/>
      <c r="I1070" s="41"/>
      <c r="J1070" s="41"/>
      <c r="K1070" s="41"/>
      <c r="L1070" s="41"/>
      <c r="M1070" s="41"/>
      <c r="N1070" s="41"/>
      <c r="O1070" s="41"/>
      <c r="P1070" s="41"/>
      <c r="Q1070" s="41"/>
      <c r="R1070" s="41"/>
      <c r="S1070" s="41"/>
    </row>
    <row r="1071" spans="1:19" x14ac:dyDescent="0.3">
      <c r="A1071" s="41"/>
      <c r="B1071" s="41"/>
      <c r="C1071" s="41"/>
      <c r="D1071" s="41"/>
      <c r="E1071" s="41"/>
      <c r="F1071" s="41"/>
      <c r="G1071" s="41"/>
      <c r="H1071" s="41"/>
      <c r="I1071" s="41"/>
      <c r="J1071" s="41"/>
      <c r="K1071" s="41"/>
      <c r="L1071" s="41"/>
      <c r="M1071" s="41"/>
      <c r="N1071" s="41"/>
      <c r="O1071" s="41"/>
      <c r="P1071" s="41"/>
      <c r="Q1071" s="41"/>
      <c r="R1071" s="41"/>
      <c r="S1071" s="41"/>
    </row>
    <row r="1072" spans="1:19" x14ac:dyDescent="0.3">
      <c r="A1072" s="41"/>
      <c r="B1072" s="41"/>
      <c r="C1072" s="41"/>
      <c r="D1072" s="41"/>
      <c r="E1072" s="41"/>
      <c r="F1072" s="41"/>
      <c r="G1072" s="41"/>
      <c r="H1072" s="41"/>
      <c r="I1072" s="41"/>
      <c r="J1072" s="41"/>
      <c r="K1072" s="41"/>
      <c r="L1072" s="41"/>
      <c r="M1072" s="41"/>
      <c r="N1072" s="41"/>
      <c r="O1072" s="41"/>
      <c r="P1072" s="41"/>
      <c r="Q1072" s="41"/>
      <c r="R1072" s="41"/>
      <c r="S1072" s="41"/>
    </row>
    <row r="1073" spans="1:19" x14ac:dyDescent="0.3">
      <c r="A1073" s="41"/>
      <c r="B1073" s="41"/>
      <c r="C1073" s="41"/>
      <c r="D1073" s="41"/>
      <c r="E1073" s="41"/>
      <c r="F1073" s="41"/>
      <c r="G1073" s="41"/>
      <c r="H1073" s="41"/>
      <c r="I1073" s="41"/>
      <c r="J1073" s="41"/>
      <c r="K1073" s="41"/>
      <c r="L1073" s="41"/>
      <c r="M1073" s="41"/>
      <c r="N1073" s="41"/>
      <c r="O1073" s="41"/>
      <c r="P1073" s="41"/>
      <c r="Q1073" s="41"/>
      <c r="R1073" s="41"/>
      <c r="S1073" s="41"/>
    </row>
    <row r="1074" spans="1:19" x14ac:dyDescent="0.3">
      <c r="A1074" s="41"/>
      <c r="B1074" s="41"/>
      <c r="C1074" s="41"/>
      <c r="D1074" s="41"/>
      <c r="E1074" s="41"/>
      <c r="F1074" s="41"/>
      <c r="G1074" s="41"/>
      <c r="H1074" s="41"/>
      <c r="I1074" s="41"/>
      <c r="J1074" s="41"/>
      <c r="K1074" s="41"/>
      <c r="L1074" s="41"/>
      <c r="M1074" s="41"/>
      <c r="N1074" s="41"/>
      <c r="O1074" s="41"/>
      <c r="P1074" s="41"/>
      <c r="Q1074" s="41"/>
      <c r="R1074" s="41"/>
      <c r="S1074" s="41"/>
    </row>
    <row r="1075" spans="1:19" x14ac:dyDescent="0.3">
      <c r="A1075" s="41"/>
      <c r="B1075" s="41"/>
      <c r="C1075" s="41"/>
      <c r="D1075" s="41"/>
      <c r="E1075" s="41"/>
      <c r="F1075" s="41"/>
      <c r="G1075" s="41"/>
      <c r="H1075" s="41"/>
      <c r="I1075" s="41"/>
      <c r="J1075" s="41"/>
      <c r="K1075" s="41"/>
      <c r="L1075" s="41"/>
      <c r="M1075" s="41"/>
      <c r="N1075" s="41"/>
      <c r="O1075" s="41"/>
      <c r="P1075" s="41"/>
      <c r="Q1075" s="41"/>
      <c r="R1075" s="41"/>
      <c r="S1075" s="41"/>
    </row>
    <row r="1076" spans="1:19" x14ac:dyDescent="0.3">
      <c r="A1076" s="41"/>
      <c r="B1076" s="41"/>
      <c r="C1076" s="41"/>
      <c r="D1076" s="41"/>
      <c r="E1076" s="41"/>
      <c r="F1076" s="41"/>
      <c r="G1076" s="41"/>
      <c r="H1076" s="41"/>
      <c r="I1076" s="41"/>
      <c r="J1076" s="41"/>
      <c r="K1076" s="41"/>
      <c r="L1076" s="41"/>
      <c r="M1076" s="41"/>
      <c r="N1076" s="41"/>
      <c r="O1076" s="41"/>
      <c r="P1076" s="41"/>
      <c r="Q1076" s="41"/>
      <c r="R1076" s="41"/>
      <c r="S1076" s="41"/>
    </row>
    <row r="1077" spans="1:19" x14ac:dyDescent="0.3">
      <c r="A1077" s="41"/>
      <c r="B1077" s="41"/>
      <c r="C1077" s="41"/>
      <c r="D1077" s="41"/>
      <c r="E1077" s="41"/>
      <c r="F1077" s="41"/>
      <c r="G1077" s="41"/>
      <c r="H1077" s="41"/>
      <c r="I1077" s="41"/>
      <c r="J1077" s="41"/>
      <c r="K1077" s="41"/>
      <c r="L1077" s="41"/>
      <c r="M1077" s="41"/>
      <c r="N1077" s="41"/>
      <c r="O1077" s="41"/>
      <c r="P1077" s="41"/>
      <c r="Q1077" s="41"/>
      <c r="R1077" s="41"/>
      <c r="S1077" s="41"/>
    </row>
    <row r="1078" spans="1:19" x14ac:dyDescent="0.3">
      <c r="A1078" s="41"/>
      <c r="B1078" s="41"/>
      <c r="C1078" s="41"/>
      <c r="D1078" s="41"/>
      <c r="E1078" s="41"/>
      <c r="F1078" s="41"/>
      <c r="G1078" s="41"/>
      <c r="H1078" s="41"/>
      <c r="I1078" s="41"/>
      <c r="J1078" s="41"/>
      <c r="K1078" s="41"/>
      <c r="L1078" s="41"/>
      <c r="M1078" s="41"/>
      <c r="N1078" s="41"/>
      <c r="O1078" s="41"/>
      <c r="P1078" s="41"/>
      <c r="Q1078" s="41"/>
      <c r="R1078" s="41"/>
      <c r="S1078" s="41"/>
    </row>
    <row r="1079" spans="1:19" x14ac:dyDescent="0.3">
      <c r="A1079" s="41"/>
      <c r="B1079" s="41"/>
      <c r="C1079" s="41"/>
      <c r="D1079" s="41"/>
      <c r="E1079" s="41"/>
      <c r="F1079" s="41"/>
      <c r="G1079" s="41"/>
      <c r="H1079" s="41"/>
      <c r="I1079" s="41"/>
      <c r="J1079" s="41"/>
      <c r="K1079" s="41"/>
      <c r="L1079" s="41"/>
      <c r="M1079" s="41"/>
      <c r="N1079" s="41"/>
      <c r="O1079" s="41"/>
      <c r="P1079" s="41"/>
      <c r="Q1079" s="41"/>
      <c r="R1079" s="41"/>
      <c r="S1079" s="41"/>
    </row>
    <row r="1080" spans="1:19" x14ac:dyDescent="0.3">
      <c r="A1080" s="41"/>
      <c r="B1080" s="41"/>
      <c r="C1080" s="41"/>
      <c r="D1080" s="41"/>
      <c r="E1080" s="41"/>
      <c r="F1080" s="41"/>
      <c r="G1080" s="41"/>
      <c r="H1080" s="41"/>
      <c r="I1080" s="41"/>
      <c r="J1080" s="41"/>
      <c r="K1080" s="41"/>
      <c r="L1080" s="41"/>
      <c r="M1080" s="41"/>
      <c r="N1080" s="41"/>
      <c r="O1080" s="41"/>
      <c r="P1080" s="41"/>
      <c r="Q1080" s="41"/>
      <c r="R1080" s="41"/>
      <c r="S1080" s="41"/>
    </row>
    <row r="1081" spans="1:19" x14ac:dyDescent="0.3">
      <c r="A1081" s="41"/>
      <c r="B1081" s="41"/>
      <c r="C1081" s="41"/>
      <c r="D1081" s="41"/>
      <c r="E1081" s="41"/>
      <c r="F1081" s="41"/>
      <c r="G1081" s="41"/>
      <c r="H1081" s="41"/>
      <c r="I1081" s="41"/>
      <c r="J1081" s="41"/>
      <c r="K1081" s="41"/>
      <c r="L1081" s="41"/>
      <c r="M1081" s="41"/>
      <c r="N1081" s="41"/>
      <c r="O1081" s="41"/>
      <c r="P1081" s="41"/>
      <c r="Q1081" s="41"/>
      <c r="R1081" s="41"/>
      <c r="S1081" s="41"/>
    </row>
    <row r="1082" spans="1:19" x14ac:dyDescent="0.3">
      <c r="A1082" s="41"/>
      <c r="B1082" s="41"/>
      <c r="C1082" s="41"/>
      <c r="D1082" s="41"/>
      <c r="E1082" s="41"/>
      <c r="F1082" s="41"/>
      <c r="G1082" s="41"/>
      <c r="H1082" s="41"/>
      <c r="I1082" s="41"/>
      <c r="J1082" s="41"/>
      <c r="K1082" s="41"/>
      <c r="L1082" s="41"/>
      <c r="M1082" s="41"/>
      <c r="N1082" s="41"/>
      <c r="O1082" s="41"/>
      <c r="P1082" s="41"/>
      <c r="Q1082" s="41"/>
      <c r="R1082" s="41"/>
      <c r="S1082" s="41"/>
    </row>
    <row r="1083" spans="1:19" x14ac:dyDescent="0.3">
      <c r="A1083" s="41"/>
      <c r="B1083" s="41"/>
      <c r="C1083" s="41"/>
      <c r="D1083" s="41"/>
      <c r="E1083" s="41"/>
      <c r="F1083" s="41"/>
      <c r="G1083" s="41"/>
      <c r="H1083" s="41"/>
      <c r="I1083" s="41"/>
      <c r="J1083" s="41"/>
      <c r="K1083" s="41"/>
      <c r="L1083" s="41"/>
      <c r="M1083" s="41"/>
      <c r="N1083" s="41"/>
      <c r="O1083" s="41"/>
      <c r="P1083" s="41"/>
      <c r="Q1083" s="41"/>
      <c r="R1083" s="41"/>
      <c r="S1083" s="41"/>
    </row>
    <row r="1084" spans="1:19" x14ac:dyDescent="0.3">
      <c r="A1084" s="41"/>
      <c r="B1084" s="41"/>
      <c r="C1084" s="41"/>
      <c r="D1084" s="41"/>
      <c r="E1084" s="41"/>
      <c r="F1084" s="41"/>
      <c r="G1084" s="41"/>
      <c r="H1084" s="41"/>
      <c r="I1084" s="41"/>
      <c r="J1084" s="41"/>
      <c r="K1084" s="41"/>
      <c r="L1084" s="41"/>
      <c r="M1084" s="41"/>
      <c r="N1084" s="41"/>
      <c r="O1084" s="41"/>
      <c r="P1084" s="41"/>
      <c r="Q1084" s="41"/>
      <c r="R1084" s="41"/>
      <c r="S1084" s="41"/>
    </row>
    <row r="1085" spans="1:19" x14ac:dyDescent="0.3">
      <c r="A1085" s="41"/>
      <c r="B1085" s="41"/>
      <c r="C1085" s="41"/>
      <c r="D1085" s="41"/>
      <c r="E1085" s="41"/>
      <c r="F1085" s="41"/>
      <c r="G1085" s="41"/>
      <c r="H1085" s="41"/>
      <c r="I1085" s="41"/>
      <c r="J1085" s="41"/>
      <c r="K1085" s="41"/>
      <c r="L1085" s="41"/>
      <c r="M1085" s="41"/>
      <c r="N1085" s="41"/>
      <c r="O1085" s="41"/>
      <c r="P1085" s="41"/>
      <c r="Q1085" s="41"/>
      <c r="R1085" s="41"/>
      <c r="S1085" s="41"/>
    </row>
    <row r="1086" spans="1:19" x14ac:dyDescent="0.3">
      <c r="A1086" s="41"/>
      <c r="B1086" s="41"/>
      <c r="C1086" s="41"/>
      <c r="D1086" s="41"/>
      <c r="E1086" s="41"/>
      <c r="F1086" s="41"/>
      <c r="G1086" s="41"/>
      <c r="H1086" s="41"/>
      <c r="I1086" s="41"/>
      <c r="J1086" s="41"/>
      <c r="K1086" s="41"/>
      <c r="L1086" s="41"/>
      <c r="M1086" s="41"/>
      <c r="N1086" s="41"/>
      <c r="O1086" s="41"/>
      <c r="P1086" s="41"/>
      <c r="Q1086" s="41"/>
      <c r="R1086" s="41"/>
      <c r="S1086" s="41"/>
    </row>
    <row r="1087" spans="1:19" x14ac:dyDescent="0.3">
      <c r="A1087" s="41"/>
      <c r="B1087" s="41"/>
      <c r="C1087" s="41"/>
      <c r="D1087" s="41"/>
      <c r="E1087" s="41"/>
      <c r="F1087" s="41"/>
      <c r="G1087" s="41"/>
      <c r="H1087" s="41"/>
      <c r="I1087" s="41"/>
      <c r="J1087" s="41"/>
      <c r="K1087" s="41"/>
      <c r="L1087" s="41"/>
      <c r="M1087" s="41"/>
      <c r="N1087" s="41"/>
      <c r="O1087" s="41"/>
      <c r="P1087" s="41"/>
      <c r="Q1087" s="41"/>
      <c r="R1087" s="41"/>
      <c r="S1087" s="41"/>
    </row>
    <row r="1088" spans="1:19" x14ac:dyDescent="0.3">
      <c r="A1088" s="41"/>
      <c r="B1088" s="41"/>
      <c r="C1088" s="41"/>
      <c r="D1088" s="41"/>
      <c r="E1088" s="41"/>
      <c r="F1088" s="41"/>
      <c r="G1088" s="41"/>
      <c r="H1088" s="41"/>
      <c r="I1088" s="41"/>
      <c r="J1088" s="41"/>
      <c r="K1088" s="41"/>
      <c r="L1088" s="41"/>
      <c r="M1088" s="41"/>
      <c r="N1088" s="41"/>
      <c r="O1088" s="41"/>
      <c r="P1088" s="41"/>
      <c r="Q1088" s="41"/>
      <c r="R1088" s="41"/>
      <c r="S1088" s="41"/>
    </row>
    <row r="1089" spans="1:19" x14ac:dyDescent="0.3">
      <c r="A1089" s="41"/>
      <c r="B1089" s="41"/>
      <c r="C1089" s="41"/>
      <c r="D1089" s="41"/>
      <c r="E1089" s="41"/>
      <c r="F1089" s="41"/>
      <c r="G1089" s="41"/>
      <c r="H1089" s="41"/>
      <c r="I1089" s="41"/>
      <c r="J1089" s="41"/>
      <c r="K1089" s="41"/>
      <c r="L1089" s="41"/>
      <c r="M1089" s="41"/>
      <c r="N1089" s="41"/>
      <c r="O1089" s="41"/>
      <c r="P1089" s="41"/>
      <c r="Q1089" s="41"/>
      <c r="R1089" s="41"/>
      <c r="S1089" s="41"/>
    </row>
    <row r="1090" spans="1:19" x14ac:dyDescent="0.3">
      <c r="A1090" s="41"/>
      <c r="B1090" s="41"/>
      <c r="C1090" s="41"/>
      <c r="D1090" s="41"/>
      <c r="E1090" s="41"/>
      <c r="F1090" s="41"/>
      <c r="G1090" s="41"/>
      <c r="H1090" s="41"/>
      <c r="I1090" s="41"/>
      <c r="J1090" s="41"/>
      <c r="K1090" s="41"/>
      <c r="L1090" s="41"/>
      <c r="M1090" s="41"/>
      <c r="N1090" s="41"/>
      <c r="O1090" s="41"/>
      <c r="P1090" s="41"/>
      <c r="Q1090" s="41"/>
      <c r="R1090" s="41"/>
      <c r="S1090" s="41"/>
    </row>
    <row r="1091" spans="1:19" x14ac:dyDescent="0.3">
      <c r="A1091" s="41"/>
      <c r="B1091" s="41"/>
      <c r="C1091" s="41"/>
      <c r="D1091" s="41"/>
      <c r="E1091" s="41"/>
      <c r="F1091" s="41"/>
      <c r="G1091" s="41"/>
      <c r="H1091" s="41"/>
      <c r="I1091" s="41"/>
      <c r="J1091" s="41"/>
      <c r="K1091" s="41"/>
      <c r="L1091" s="41"/>
      <c r="M1091" s="41"/>
      <c r="N1091" s="41"/>
      <c r="O1091" s="41"/>
      <c r="P1091" s="41"/>
      <c r="Q1091" s="41"/>
      <c r="R1091" s="41"/>
      <c r="S1091" s="41"/>
    </row>
    <row r="1092" spans="1:19" x14ac:dyDescent="0.3">
      <c r="A1092" s="41"/>
      <c r="B1092" s="41"/>
      <c r="C1092" s="41"/>
      <c r="D1092" s="41"/>
      <c r="E1092" s="41"/>
      <c r="F1092" s="41"/>
      <c r="G1092" s="41"/>
      <c r="H1092" s="41"/>
      <c r="I1092" s="41"/>
      <c r="J1092" s="41"/>
      <c r="K1092" s="41"/>
      <c r="L1092" s="41"/>
      <c r="M1092" s="41"/>
      <c r="N1092" s="41"/>
      <c r="O1092" s="41"/>
      <c r="P1092" s="41"/>
      <c r="Q1092" s="41"/>
      <c r="R1092" s="41"/>
      <c r="S1092" s="41"/>
    </row>
    <row r="1093" spans="1:19" x14ac:dyDescent="0.3">
      <c r="A1093" s="41"/>
      <c r="B1093" s="41"/>
      <c r="C1093" s="41"/>
      <c r="D1093" s="41"/>
      <c r="E1093" s="41"/>
      <c r="F1093" s="41"/>
      <c r="G1093" s="41"/>
      <c r="H1093" s="41"/>
      <c r="I1093" s="41"/>
      <c r="J1093" s="41"/>
      <c r="K1093" s="41"/>
      <c r="L1093" s="41"/>
      <c r="M1093" s="41"/>
      <c r="N1093" s="41"/>
      <c r="O1093" s="41"/>
      <c r="P1093" s="41"/>
      <c r="Q1093" s="41"/>
      <c r="R1093" s="41"/>
      <c r="S1093" s="41"/>
    </row>
    <row r="1094" spans="1:19" x14ac:dyDescent="0.3">
      <c r="A1094" s="41"/>
      <c r="B1094" s="41"/>
      <c r="C1094" s="41"/>
      <c r="D1094" s="41"/>
      <c r="E1094" s="41"/>
      <c r="F1094" s="41"/>
      <c r="G1094" s="41"/>
      <c r="H1094" s="41"/>
      <c r="I1094" s="41"/>
      <c r="J1094" s="41"/>
      <c r="K1094" s="41"/>
      <c r="L1094" s="41"/>
      <c r="M1094" s="41"/>
      <c r="N1094" s="41"/>
      <c r="O1094" s="41"/>
      <c r="P1094" s="41"/>
      <c r="Q1094" s="41"/>
      <c r="R1094" s="41"/>
      <c r="S1094" s="41"/>
    </row>
    <row r="1095" spans="1:19" x14ac:dyDescent="0.3">
      <c r="A1095" s="41"/>
      <c r="B1095" s="41"/>
      <c r="C1095" s="41"/>
      <c r="D1095" s="41"/>
      <c r="E1095" s="41"/>
      <c r="F1095" s="41"/>
      <c r="G1095" s="41"/>
      <c r="H1095" s="41"/>
      <c r="I1095" s="41"/>
      <c r="J1095" s="41"/>
      <c r="K1095" s="41"/>
      <c r="L1095" s="41"/>
      <c r="M1095" s="41"/>
      <c r="N1095" s="41"/>
      <c r="O1095" s="41"/>
      <c r="P1095" s="41"/>
      <c r="Q1095" s="41"/>
      <c r="R1095" s="41"/>
      <c r="S1095" s="41"/>
    </row>
    <row r="1096" spans="1:19" x14ac:dyDescent="0.3">
      <c r="A1096" s="41"/>
      <c r="B1096" s="41"/>
      <c r="C1096" s="41"/>
      <c r="D1096" s="41"/>
      <c r="E1096" s="41"/>
      <c r="F1096" s="41"/>
      <c r="G1096" s="41"/>
      <c r="H1096" s="41"/>
      <c r="I1096" s="41"/>
      <c r="J1096" s="41"/>
      <c r="K1096" s="41"/>
      <c r="L1096" s="41"/>
      <c r="M1096" s="41"/>
      <c r="N1096" s="41"/>
      <c r="O1096" s="41"/>
      <c r="P1096" s="41"/>
      <c r="Q1096" s="41"/>
      <c r="R1096" s="41"/>
      <c r="S1096" s="41"/>
    </row>
    <row r="1097" spans="1:19" x14ac:dyDescent="0.3">
      <c r="A1097" s="41"/>
      <c r="B1097" s="41"/>
      <c r="C1097" s="41"/>
      <c r="D1097" s="41"/>
      <c r="E1097" s="41"/>
      <c r="F1097" s="41"/>
      <c r="G1097" s="41"/>
      <c r="H1097" s="41"/>
      <c r="I1097" s="41"/>
      <c r="J1097" s="41"/>
      <c r="K1097" s="41"/>
      <c r="L1097" s="41"/>
      <c r="M1097" s="41"/>
      <c r="N1097" s="41"/>
      <c r="O1097" s="41"/>
      <c r="P1097" s="41"/>
      <c r="Q1097" s="41"/>
      <c r="R1097" s="41"/>
      <c r="S1097" s="41"/>
    </row>
    <row r="1098" spans="1:19" x14ac:dyDescent="0.3">
      <c r="A1098" s="41"/>
      <c r="B1098" s="41"/>
      <c r="C1098" s="41"/>
      <c r="D1098" s="41"/>
      <c r="E1098" s="41"/>
      <c r="F1098" s="41"/>
      <c r="G1098" s="41"/>
      <c r="H1098" s="41"/>
      <c r="I1098" s="41"/>
      <c r="J1098" s="41"/>
      <c r="K1098" s="41"/>
      <c r="L1098" s="41"/>
      <c r="M1098" s="41"/>
      <c r="N1098" s="41"/>
      <c r="O1098" s="41"/>
      <c r="P1098" s="41"/>
      <c r="Q1098" s="41"/>
      <c r="R1098" s="41"/>
      <c r="S1098" s="41"/>
    </row>
    <row r="1099" spans="1:19" x14ac:dyDescent="0.3">
      <c r="A1099" s="41"/>
      <c r="B1099" s="41"/>
      <c r="C1099" s="41"/>
      <c r="D1099" s="41"/>
      <c r="E1099" s="41"/>
      <c r="F1099" s="41"/>
      <c r="G1099" s="41"/>
      <c r="H1099" s="41"/>
      <c r="I1099" s="41"/>
      <c r="J1099" s="41"/>
      <c r="K1099" s="41"/>
      <c r="L1099" s="41"/>
      <c r="M1099" s="41"/>
      <c r="N1099" s="41"/>
      <c r="O1099" s="41"/>
      <c r="P1099" s="41"/>
      <c r="Q1099" s="41"/>
      <c r="R1099" s="41"/>
      <c r="S1099" s="41"/>
    </row>
    <row r="1100" spans="1:19" x14ac:dyDescent="0.3">
      <c r="A1100" s="41"/>
      <c r="B1100" s="41"/>
      <c r="C1100" s="41"/>
      <c r="D1100" s="41"/>
      <c r="E1100" s="41"/>
      <c r="F1100" s="41"/>
      <c r="G1100" s="41"/>
      <c r="H1100" s="41"/>
      <c r="I1100" s="41"/>
      <c r="J1100" s="41"/>
      <c r="K1100" s="41"/>
      <c r="L1100" s="41"/>
      <c r="M1100" s="41"/>
      <c r="N1100" s="41"/>
      <c r="O1100" s="41"/>
      <c r="P1100" s="41"/>
      <c r="Q1100" s="41"/>
      <c r="R1100" s="41"/>
      <c r="S1100" s="41"/>
    </row>
    <row r="1101" spans="1:19" x14ac:dyDescent="0.3">
      <c r="A1101" s="41"/>
      <c r="B1101" s="41"/>
      <c r="C1101" s="41"/>
      <c r="D1101" s="41"/>
      <c r="E1101" s="41"/>
      <c r="F1101" s="41"/>
      <c r="G1101" s="41"/>
      <c r="H1101" s="41"/>
      <c r="I1101" s="41"/>
      <c r="J1101" s="41"/>
      <c r="K1101" s="41"/>
      <c r="L1101" s="41"/>
      <c r="M1101" s="41"/>
      <c r="N1101" s="41"/>
      <c r="O1101" s="41"/>
      <c r="P1101" s="41"/>
      <c r="Q1101" s="41"/>
      <c r="R1101" s="41"/>
      <c r="S1101" s="41"/>
    </row>
    <row r="1102" spans="1:19" x14ac:dyDescent="0.3">
      <c r="A1102" s="41"/>
      <c r="B1102" s="41"/>
      <c r="C1102" s="41"/>
      <c r="D1102" s="41"/>
      <c r="E1102" s="41"/>
      <c r="F1102" s="41"/>
      <c r="G1102" s="41"/>
      <c r="H1102" s="41"/>
      <c r="I1102" s="41"/>
      <c r="J1102" s="41"/>
      <c r="K1102" s="41"/>
      <c r="L1102" s="41"/>
      <c r="M1102" s="41"/>
      <c r="N1102" s="41"/>
      <c r="O1102" s="41"/>
      <c r="P1102" s="41"/>
      <c r="Q1102" s="41"/>
      <c r="R1102" s="41"/>
      <c r="S1102" s="41"/>
    </row>
    <row r="1103" spans="1:19" x14ac:dyDescent="0.3">
      <c r="A1103" s="41"/>
      <c r="B1103" s="41"/>
      <c r="C1103" s="41"/>
      <c r="D1103" s="41"/>
      <c r="E1103" s="41"/>
      <c r="F1103" s="41"/>
      <c r="G1103" s="41"/>
      <c r="H1103" s="41"/>
      <c r="I1103" s="41"/>
      <c r="J1103" s="41"/>
      <c r="K1103" s="41"/>
      <c r="L1103" s="41"/>
      <c r="M1103" s="41"/>
      <c r="N1103" s="41"/>
      <c r="O1103" s="41"/>
      <c r="P1103" s="41"/>
      <c r="Q1103" s="41"/>
      <c r="R1103" s="41"/>
      <c r="S1103" s="41"/>
    </row>
    <row r="1104" spans="1:19" x14ac:dyDescent="0.3">
      <c r="A1104" s="41"/>
      <c r="B1104" s="41"/>
      <c r="C1104" s="41"/>
      <c r="D1104" s="41"/>
      <c r="E1104" s="41"/>
      <c r="F1104" s="41"/>
      <c r="G1104" s="41"/>
      <c r="H1104" s="41"/>
      <c r="I1104" s="41"/>
      <c r="J1104" s="41"/>
      <c r="K1104" s="41"/>
      <c r="L1104" s="41"/>
      <c r="M1104" s="41"/>
      <c r="N1104" s="41"/>
      <c r="O1104" s="41"/>
      <c r="P1104" s="41"/>
      <c r="Q1104" s="41"/>
      <c r="R1104" s="41"/>
      <c r="S1104" s="41"/>
    </row>
    <row r="1105" spans="1:19" x14ac:dyDescent="0.3">
      <c r="A1105" s="41"/>
      <c r="B1105" s="41"/>
      <c r="C1105" s="41"/>
      <c r="D1105" s="41"/>
      <c r="E1105" s="41"/>
      <c r="F1105" s="41"/>
      <c r="G1105" s="41"/>
      <c r="H1105" s="41"/>
      <c r="I1105" s="41"/>
      <c r="J1105" s="41"/>
      <c r="K1105" s="41"/>
      <c r="L1105" s="41"/>
      <c r="M1105" s="41"/>
      <c r="N1105" s="41"/>
      <c r="O1105" s="41"/>
      <c r="P1105" s="41"/>
      <c r="Q1105" s="41"/>
      <c r="R1105" s="41"/>
      <c r="S1105" s="41"/>
    </row>
    <row r="1106" spans="1:19" x14ac:dyDescent="0.3">
      <c r="A1106" s="41"/>
      <c r="B1106" s="41"/>
      <c r="C1106" s="41"/>
      <c r="D1106" s="41"/>
      <c r="E1106" s="41"/>
      <c r="F1106" s="41"/>
      <c r="G1106" s="41"/>
      <c r="H1106" s="41"/>
      <c r="I1106" s="41"/>
      <c r="J1106" s="41"/>
      <c r="K1106" s="41"/>
      <c r="L1106" s="41"/>
      <c r="M1106" s="41"/>
      <c r="N1106" s="41"/>
      <c r="O1106" s="41"/>
      <c r="P1106" s="41"/>
      <c r="Q1106" s="41"/>
      <c r="R1106" s="41"/>
      <c r="S1106" s="41"/>
    </row>
    <row r="1107" spans="1:19" x14ac:dyDescent="0.3">
      <c r="A1107" s="41"/>
      <c r="B1107" s="41"/>
      <c r="C1107" s="41"/>
      <c r="D1107" s="41"/>
      <c r="E1107" s="41"/>
      <c r="F1107" s="41"/>
      <c r="G1107" s="41"/>
      <c r="H1107" s="41"/>
      <c r="I1107" s="41"/>
      <c r="J1107" s="41"/>
      <c r="K1107" s="41"/>
      <c r="L1107" s="41"/>
      <c r="M1107" s="41"/>
      <c r="N1107" s="41"/>
      <c r="O1107" s="41"/>
      <c r="P1107" s="41"/>
      <c r="Q1107" s="41"/>
      <c r="R1107" s="41"/>
      <c r="S1107" s="41"/>
    </row>
    <row r="1108" spans="1:19" x14ac:dyDescent="0.3">
      <c r="A1108" s="41"/>
      <c r="B1108" s="41"/>
      <c r="C1108" s="41"/>
      <c r="D1108" s="41"/>
      <c r="E1108" s="41"/>
      <c r="F1108" s="41"/>
      <c r="G1108" s="41"/>
      <c r="H1108" s="41"/>
      <c r="I1108" s="41"/>
      <c r="J1108" s="41"/>
      <c r="K1108" s="41"/>
      <c r="L1108" s="41"/>
      <c r="M1108" s="41"/>
      <c r="N1108" s="41"/>
      <c r="O1108" s="41"/>
      <c r="P1108" s="41"/>
      <c r="Q1108" s="41"/>
      <c r="R1108" s="41"/>
      <c r="S1108" s="41"/>
    </row>
    <row r="1109" spans="1:19" x14ac:dyDescent="0.3">
      <c r="A1109" s="41"/>
      <c r="B1109" s="41"/>
      <c r="C1109" s="41"/>
      <c r="D1109" s="41"/>
      <c r="E1109" s="41"/>
      <c r="F1109" s="41"/>
      <c r="G1109" s="41"/>
      <c r="H1109" s="41"/>
      <c r="I1109" s="41"/>
      <c r="J1109" s="41"/>
      <c r="K1109" s="41"/>
      <c r="L1109" s="41"/>
      <c r="M1109" s="41"/>
      <c r="N1109" s="41"/>
      <c r="O1109" s="41"/>
      <c r="P1109" s="41"/>
      <c r="Q1109" s="41"/>
      <c r="R1109" s="41"/>
      <c r="S1109" s="41"/>
    </row>
    <row r="1110" spans="1:19" x14ac:dyDescent="0.3">
      <c r="A1110" s="41"/>
      <c r="B1110" s="41"/>
      <c r="C1110" s="41"/>
      <c r="D1110" s="41"/>
      <c r="E1110" s="41"/>
      <c r="F1110" s="41"/>
      <c r="G1110" s="41"/>
      <c r="H1110" s="41"/>
      <c r="I1110" s="41"/>
      <c r="J1110" s="41"/>
      <c r="K1110" s="41"/>
      <c r="L1110" s="41"/>
      <c r="M1110" s="41"/>
      <c r="N1110" s="41"/>
      <c r="O1110" s="41"/>
      <c r="P1110" s="41"/>
      <c r="Q1110" s="41"/>
      <c r="R1110" s="41"/>
      <c r="S1110" s="41"/>
    </row>
    <row r="1111" spans="1:19" x14ac:dyDescent="0.3">
      <c r="A1111" s="41"/>
      <c r="B1111" s="41"/>
      <c r="C1111" s="41"/>
      <c r="D1111" s="41"/>
      <c r="E1111" s="41"/>
      <c r="F1111" s="41"/>
      <c r="G1111" s="41"/>
      <c r="H1111" s="41"/>
      <c r="I1111" s="41"/>
      <c r="J1111" s="41"/>
      <c r="K1111" s="41"/>
      <c r="L1111" s="41"/>
      <c r="M1111" s="41"/>
      <c r="N1111" s="41"/>
      <c r="O1111" s="41"/>
      <c r="P1111" s="41"/>
      <c r="Q1111" s="41"/>
      <c r="R1111" s="41"/>
      <c r="S1111" s="41"/>
    </row>
    <row r="1112" spans="1:19" x14ac:dyDescent="0.3">
      <c r="A1112" s="41"/>
      <c r="B1112" s="41"/>
      <c r="C1112" s="41"/>
      <c r="D1112" s="41"/>
      <c r="E1112" s="41"/>
      <c r="F1112" s="41"/>
      <c r="G1112" s="41"/>
      <c r="H1112" s="41"/>
      <c r="I1112" s="41"/>
      <c r="J1112" s="41"/>
      <c r="K1112" s="41"/>
      <c r="L1112" s="41"/>
      <c r="M1112" s="41"/>
      <c r="N1112" s="41"/>
      <c r="O1112" s="41"/>
      <c r="P1112" s="41"/>
      <c r="Q1112" s="41"/>
      <c r="R1112" s="41"/>
      <c r="S1112" s="41"/>
    </row>
    <row r="1113" spans="1:19" x14ac:dyDescent="0.3">
      <c r="A1113" s="41"/>
      <c r="B1113" s="41"/>
      <c r="C1113" s="41"/>
      <c r="D1113" s="41"/>
      <c r="E1113" s="41"/>
      <c r="F1113" s="41"/>
      <c r="G1113" s="41"/>
      <c r="H1113" s="41"/>
      <c r="I1113" s="41"/>
      <c r="J1113" s="41"/>
      <c r="K1113" s="41"/>
      <c r="L1113" s="41"/>
      <c r="M1113" s="41"/>
      <c r="N1113" s="41"/>
      <c r="O1113" s="41"/>
      <c r="P1113" s="41"/>
      <c r="Q1113" s="41"/>
      <c r="R1113" s="41"/>
      <c r="S1113" s="41"/>
    </row>
    <row r="1114" spans="1:19" x14ac:dyDescent="0.3">
      <c r="A1114" s="41"/>
      <c r="B1114" s="41"/>
      <c r="C1114" s="41"/>
      <c r="D1114" s="41"/>
      <c r="E1114" s="41"/>
      <c r="F1114" s="41"/>
      <c r="G1114" s="41"/>
      <c r="H1114" s="41"/>
      <c r="I1114" s="41"/>
      <c r="J1114" s="41"/>
      <c r="K1114" s="41"/>
      <c r="L1114" s="41"/>
      <c r="M1114" s="41"/>
      <c r="N1114" s="41"/>
      <c r="O1114" s="41"/>
      <c r="P1114" s="41"/>
      <c r="Q1114" s="41"/>
      <c r="R1114" s="41"/>
      <c r="S1114" s="41"/>
    </row>
    <row r="1115" spans="1:19" x14ac:dyDescent="0.3">
      <c r="A1115" s="41"/>
      <c r="B1115" s="41"/>
      <c r="C1115" s="41"/>
      <c r="D1115" s="41"/>
      <c r="E1115" s="41"/>
      <c r="F1115" s="41"/>
      <c r="G1115" s="41"/>
      <c r="H1115" s="41"/>
      <c r="I1115" s="41"/>
      <c r="J1115" s="41"/>
      <c r="K1115" s="41"/>
      <c r="L1115" s="41"/>
      <c r="M1115" s="41"/>
      <c r="N1115" s="41"/>
      <c r="O1115" s="41"/>
      <c r="P1115" s="41"/>
      <c r="Q1115" s="41"/>
      <c r="R1115" s="41"/>
      <c r="S1115" s="41"/>
    </row>
    <row r="1116" spans="1:19" x14ac:dyDescent="0.3">
      <c r="A1116" s="41"/>
      <c r="B1116" s="41"/>
      <c r="C1116" s="41"/>
      <c r="D1116" s="41"/>
      <c r="E1116" s="41"/>
      <c r="F1116" s="41"/>
      <c r="G1116" s="41"/>
      <c r="H1116" s="41"/>
      <c r="I1116" s="41"/>
      <c r="J1116" s="41"/>
      <c r="K1116" s="41"/>
      <c r="L1116" s="41"/>
      <c r="M1116" s="41"/>
      <c r="N1116" s="41"/>
      <c r="O1116" s="41"/>
      <c r="P1116" s="41"/>
      <c r="Q1116" s="41"/>
      <c r="R1116" s="41"/>
      <c r="S1116" s="41"/>
    </row>
    <row r="1117" spans="1:19" x14ac:dyDescent="0.3">
      <c r="A1117" s="41"/>
      <c r="B1117" s="41"/>
      <c r="C1117" s="41"/>
      <c r="D1117" s="41"/>
      <c r="E1117" s="41"/>
      <c r="F1117" s="41"/>
      <c r="G1117" s="41"/>
      <c r="H1117" s="41"/>
      <c r="I1117" s="41"/>
      <c r="J1117" s="41"/>
      <c r="K1117" s="41"/>
      <c r="L1117" s="41"/>
      <c r="M1117" s="41"/>
      <c r="N1117" s="41"/>
      <c r="O1117" s="41"/>
      <c r="P1117" s="41"/>
      <c r="Q1117" s="41"/>
      <c r="R1117" s="41"/>
      <c r="S1117" s="41"/>
    </row>
    <row r="1118" spans="1:19" x14ac:dyDescent="0.3">
      <c r="A1118" s="41"/>
      <c r="B1118" s="41"/>
      <c r="C1118" s="41"/>
      <c r="D1118" s="41"/>
      <c r="E1118" s="41"/>
      <c r="F1118" s="41"/>
      <c r="G1118" s="41"/>
      <c r="H1118" s="41"/>
      <c r="I1118" s="41"/>
      <c r="J1118" s="41"/>
      <c r="K1118" s="41"/>
      <c r="L1118" s="41"/>
      <c r="M1118" s="41"/>
      <c r="N1118" s="41"/>
      <c r="O1118" s="41"/>
      <c r="P1118" s="41"/>
      <c r="Q1118" s="41"/>
      <c r="R1118" s="41"/>
      <c r="S1118" s="41"/>
    </row>
    <row r="1119" spans="1:19" x14ac:dyDescent="0.3">
      <c r="A1119" s="41"/>
      <c r="B1119" s="41"/>
      <c r="C1119" s="41"/>
      <c r="D1119" s="41"/>
      <c r="E1119" s="41"/>
      <c r="F1119" s="41"/>
      <c r="G1119" s="41"/>
      <c r="H1119" s="41"/>
      <c r="I1119" s="41"/>
      <c r="J1119" s="41"/>
      <c r="K1119" s="41"/>
      <c r="L1119" s="41"/>
      <c r="M1119" s="41"/>
      <c r="N1119" s="41"/>
      <c r="O1119" s="41"/>
      <c r="P1119" s="41"/>
      <c r="Q1119" s="41"/>
      <c r="R1119" s="41"/>
      <c r="S1119" s="41"/>
    </row>
    <row r="1120" spans="1:19" x14ac:dyDescent="0.3">
      <c r="A1120" s="41"/>
      <c r="B1120" s="41"/>
      <c r="C1120" s="41"/>
      <c r="D1120" s="41"/>
      <c r="E1120" s="41"/>
      <c r="F1120" s="41"/>
      <c r="G1120" s="41"/>
      <c r="H1120" s="41"/>
      <c r="I1120" s="41"/>
      <c r="J1120" s="41"/>
      <c r="K1120" s="41"/>
      <c r="L1120" s="41"/>
      <c r="M1120" s="41"/>
      <c r="N1120" s="41"/>
      <c r="O1120" s="41"/>
      <c r="P1120" s="41"/>
      <c r="Q1120" s="41"/>
      <c r="R1120" s="41"/>
      <c r="S1120" s="41"/>
    </row>
    <row r="1121" spans="1:19" x14ac:dyDescent="0.3">
      <c r="A1121" s="41"/>
      <c r="B1121" s="41"/>
      <c r="C1121" s="41"/>
      <c r="D1121" s="41"/>
      <c r="E1121" s="41"/>
      <c r="F1121" s="41"/>
      <c r="G1121" s="41"/>
      <c r="H1121" s="41"/>
      <c r="I1121" s="41"/>
      <c r="J1121" s="41"/>
      <c r="K1121" s="41"/>
      <c r="L1121" s="41"/>
      <c r="M1121" s="41"/>
      <c r="N1121" s="41"/>
      <c r="O1121" s="41"/>
      <c r="P1121" s="41"/>
      <c r="Q1121" s="41"/>
      <c r="R1121" s="41"/>
      <c r="S1121" s="41"/>
    </row>
    <row r="1122" spans="1:19" x14ac:dyDescent="0.3">
      <c r="A1122" s="41"/>
      <c r="B1122" s="41"/>
      <c r="C1122" s="41"/>
      <c r="D1122" s="41"/>
      <c r="E1122" s="41"/>
      <c r="F1122" s="41"/>
      <c r="G1122" s="41"/>
      <c r="H1122" s="41"/>
      <c r="I1122" s="41"/>
      <c r="J1122" s="41"/>
      <c r="K1122" s="41"/>
      <c r="L1122" s="41"/>
      <c r="M1122" s="41"/>
      <c r="N1122" s="41"/>
      <c r="O1122" s="41"/>
      <c r="P1122" s="41"/>
      <c r="Q1122" s="41"/>
      <c r="R1122" s="41"/>
      <c r="S1122" s="41"/>
    </row>
    <row r="1123" spans="1:19" x14ac:dyDescent="0.3">
      <c r="A1123" s="41"/>
      <c r="B1123" s="41"/>
      <c r="C1123" s="41"/>
      <c r="D1123" s="41"/>
      <c r="E1123" s="41"/>
      <c r="F1123" s="41"/>
      <c r="G1123" s="41"/>
      <c r="H1123" s="41"/>
      <c r="I1123" s="41"/>
      <c r="J1123" s="41"/>
      <c r="K1123" s="41"/>
      <c r="L1123" s="41"/>
      <c r="M1123" s="41"/>
      <c r="N1123" s="41"/>
      <c r="O1123" s="41"/>
      <c r="P1123" s="41"/>
      <c r="Q1123" s="41"/>
      <c r="R1123" s="41"/>
      <c r="S1123" s="41"/>
    </row>
    <row r="1124" spans="1:19" x14ac:dyDescent="0.3">
      <c r="A1124" s="41"/>
      <c r="B1124" s="41"/>
      <c r="C1124" s="41"/>
      <c r="D1124" s="41"/>
      <c r="E1124" s="41"/>
      <c r="F1124" s="41"/>
      <c r="G1124" s="41"/>
      <c r="H1124" s="41"/>
      <c r="I1124" s="41"/>
      <c r="J1124" s="41"/>
      <c r="K1124" s="41"/>
      <c r="L1124" s="41"/>
      <c r="M1124" s="41"/>
      <c r="N1124" s="41"/>
      <c r="O1124" s="41"/>
      <c r="P1124" s="41"/>
      <c r="Q1124" s="41"/>
      <c r="R1124" s="41"/>
      <c r="S1124" s="41"/>
    </row>
    <row r="1125" spans="1:19" x14ac:dyDescent="0.3">
      <c r="A1125" s="41"/>
      <c r="B1125" s="41"/>
      <c r="C1125" s="41"/>
      <c r="D1125" s="41"/>
      <c r="E1125" s="41"/>
      <c r="F1125" s="41"/>
      <c r="G1125" s="41"/>
      <c r="H1125" s="41"/>
      <c r="I1125" s="41"/>
      <c r="J1125" s="41"/>
      <c r="K1125" s="41"/>
      <c r="L1125" s="41"/>
      <c r="M1125" s="41"/>
      <c r="N1125" s="41"/>
      <c r="O1125" s="41"/>
      <c r="P1125" s="41"/>
      <c r="Q1125" s="41"/>
      <c r="R1125" s="41"/>
      <c r="S1125" s="41"/>
    </row>
    <row r="1126" spans="1:19" x14ac:dyDescent="0.3">
      <c r="A1126" s="41"/>
      <c r="B1126" s="41"/>
      <c r="C1126" s="41"/>
      <c r="D1126" s="41"/>
      <c r="E1126" s="41"/>
      <c r="F1126" s="41"/>
      <c r="G1126" s="41"/>
      <c r="H1126" s="41"/>
      <c r="I1126" s="41"/>
      <c r="J1126" s="41"/>
      <c r="K1126" s="41"/>
      <c r="L1126" s="41"/>
      <c r="M1126" s="41"/>
      <c r="N1126" s="41"/>
      <c r="O1126" s="41"/>
      <c r="P1126" s="41"/>
      <c r="Q1126" s="41"/>
      <c r="R1126" s="41"/>
      <c r="S1126" s="41"/>
    </row>
    <row r="1127" spans="1:19" x14ac:dyDescent="0.3">
      <c r="A1127" s="41"/>
      <c r="B1127" s="41"/>
      <c r="C1127" s="41"/>
      <c r="D1127" s="41"/>
      <c r="E1127" s="41"/>
      <c r="F1127" s="41"/>
      <c r="G1127" s="41"/>
      <c r="H1127" s="41"/>
      <c r="I1127" s="41"/>
      <c r="J1127" s="41"/>
      <c r="K1127" s="41"/>
      <c r="L1127" s="41"/>
      <c r="M1127" s="41"/>
      <c r="N1127" s="41"/>
      <c r="O1127" s="41"/>
      <c r="P1127" s="41"/>
      <c r="Q1127" s="41"/>
      <c r="R1127" s="41"/>
      <c r="S1127" s="41"/>
    </row>
    <row r="1128" spans="1:19" x14ac:dyDescent="0.3">
      <c r="A1128" s="41"/>
      <c r="B1128" s="41"/>
      <c r="C1128" s="41"/>
      <c r="D1128" s="41"/>
      <c r="E1128" s="41"/>
      <c r="F1128" s="41"/>
      <c r="G1128" s="41"/>
      <c r="H1128" s="41"/>
      <c r="I1128" s="41"/>
      <c r="J1128" s="41"/>
      <c r="K1128" s="41"/>
      <c r="L1128" s="41"/>
      <c r="M1128" s="41"/>
      <c r="N1128" s="41"/>
      <c r="O1128" s="41"/>
      <c r="P1128" s="41"/>
      <c r="Q1128" s="41"/>
      <c r="R1128" s="41"/>
      <c r="S1128" s="41"/>
    </row>
    <row r="1129" spans="1:19" x14ac:dyDescent="0.3">
      <c r="A1129" s="41"/>
      <c r="B1129" s="41"/>
      <c r="C1129" s="41"/>
      <c r="D1129" s="41"/>
      <c r="E1129" s="41"/>
      <c r="F1129" s="41"/>
      <c r="G1129" s="41"/>
      <c r="H1129" s="41"/>
      <c r="I1129" s="41"/>
      <c r="J1129" s="41"/>
      <c r="K1129" s="41"/>
      <c r="L1129" s="41"/>
      <c r="M1129" s="41"/>
      <c r="N1129" s="41"/>
      <c r="O1129" s="41"/>
      <c r="P1129" s="41"/>
      <c r="Q1129" s="41"/>
      <c r="R1129" s="41"/>
      <c r="S1129" s="41"/>
    </row>
    <row r="1130" spans="1:19" x14ac:dyDescent="0.3">
      <c r="A1130" s="41"/>
      <c r="B1130" s="41"/>
      <c r="C1130" s="41"/>
      <c r="D1130" s="41"/>
      <c r="E1130" s="41"/>
      <c r="F1130" s="41"/>
      <c r="G1130" s="41"/>
      <c r="H1130" s="41"/>
      <c r="I1130" s="41"/>
      <c r="J1130" s="41"/>
      <c r="K1130" s="41"/>
      <c r="L1130" s="41"/>
      <c r="M1130" s="41"/>
      <c r="N1130" s="41"/>
      <c r="O1130" s="41"/>
      <c r="P1130" s="41"/>
      <c r="Q1130" s="41"/>
      <c r="R1130" s="41"/>
      <c r="S1130" s="41"/>
    </row>
    <row r="1131" spans="1:19" x14ac:dyDescent="0.3">
      <c r="A1131" s="41"/>
      <c r="B1131" s="41"/>
      <c r="C1131" s="41"/>
      <c r="D1131" s="41"/>
      <c r="E1131" s="41"/>
      <c r="F1131" s="41"/>
      <c r="G1131" s="41"/>
      <c r="H1131" s="41"/>
      <c r="I1131" s="41"/>
      <c r="J1131" s="41"/>
      <c r="K1131" s="41"/>
      <c r="L1131" s="41"/>
      <c r="M1131" s="41"/>
      <c r="N1131" s="41"/>
      <c r="O1131" s="41"/>
      <c r="P1131" s="41"/>
      <c r="Q1131" s="41"/>
      <c r="R1131" s="41"/>
      <c r="S1131" s="41"/>
    </row>
    <row r="1132" spans="1:19" x14ac:dyDescent="0.3">
      <c r="A1132" s="41"/>
      <c r="B1132" s="41"/>
      <c r="C1132" s="41"/>
      <c r="D1132" s="41"/>
      <c r="E1132" s="41"/>
      <c r="F1132" s="41"/>
      <c r="G1132" s="41"/>
      <c r="H1132" s="41"/>
      <c r="I1132" s="41"/>
      <c r="J1132" s="41"/>
      <c r="K1132" s="41"/>
      <c r="L1132" s="41"/>
      <c r="M1132" s="41"/>
      <c r="N1132" s="41"/>
      <c r="O1132" s="41"/>
      <c r="P1132" s="41"/>
      <c r="Q1132" s="41"/>
      <c r="R1132" s="41"/>
      <c r="S1132" s="41"/>
    </row>
    <row r="1133" spans="1:19" x14ac:dyDescent="0.3">
      <c r="A1133" s="41"/>
      <c r="B1133" s="41"/>
      <c r="C1133" s="41"/>
      <c r="D1133" s="41"/>
      <c r="E1133" s="41"/>
      <c r="F1133" s="41"/>
      <c r="G1133" s="41"/>
      <c r="H1133" s="41"/>
      <c r="I1133" s="41"/>
      <c r="J1133" s="41"/>
      <c r="K1133" s="41"/>
      <c r="L1133" s="41"/>
      <c r="M1133" s="41"/>
      <c r="N1133" s="41"/>
      <c r="O1133" s="41"/>
      <c r="P1133" s="41"/>
      <c r="Q1133" s="41"/>
      <c r="R1133" s="41"/>
      <c r="S1133" s="41"/>
    </row>
    <row r="1134" spans="1:19" x14ac:dyDescent="0.3">
      <c r="A1134" s="41"/>
      <c r="B1134" s="41"/>
      <c r="C1134" s="41"/>
      <c r="D1134" s="41"/>
      <c r="E1134" s="41"/>
      <c r="F1134" s="41"/>
      <c r="G1134" s="41"/>
      <c r="H1134" s="41"/>
      <c r="I1134" s="41"/>
      <c r="J1134" s="41"/>
      <c r="K1134" s="41"/>
      <c r="L1134" s="41"/>
      <c r="M1134" s="41"/>
      <c r="N1134" s="41"/>
      <c r="O1134" s="41"/>
      <c r="P1134" s="41"/>
      <c r="Q1134" s="41"/>
      <c r="R1134" s="41"/>
      <c r="S1134" s="41"/>
    </row>
    <row r="1135" spans="1:19" x14ac:dyDescent="0.3">
      <c r="A1135" s="41"/>
      <c r="B1135" s="41"/>
      <c r="C1135" s="41"/>
      <c r="D1135" s="41"/>
      <c r="E1135" s="41"/>
      <c r="F1135" s="41"/>
      <c r="G1135" s="41"/>
      <c r="H1135" s="41"/>
      <c r="I1135" s="41"/>
      <c r="J1135" s="41"/>
      <c r="K1135" s="41"/>
      <c r="L1135" s="41"/>
      <c r="M1135" s="41"/>
      <c r="N1135" s="41"/>
      <c r="O1135" s="41"/>
      <c r="P1135" s="41"/>
      <c r="Q1135" s="41"/>
      <c r="R1135" s="41"/>
      <c r="S1135" s="41"/>
    </row>
    <row r="1136" spans="1:19" x14ac:dyDescent="0.3">
      <c r="A1136" s="41"/>
      <c r="B1136" s="41"/>
      <c r="C1136" s="41"/>
      <c r="D1136" s="41"/>
      <c r="E1136" s="41"/>
      <c r="F1136" s="41"/>
      <c r="G1136" s="41"/>
      <c r="H1136" s="41"/>
      <c r="I1136" s="41"/>
      <c r="J1136" s="41"/>
      <c r="K1136" s="41"/>
      <c r="L1136" s="41"/>
      <c r="M1136" s="41"/>
      <c r="N1136" s="41"/>
      <c r="O1136" s="41"/>
      <c r="P1136" s="41"/>
      <c r="Q1136" s="41"/>
      <c r="R1136" s="41"/>
      <c r="S1136" s="41"/>
    </row>
    <row r="1137" spans="1:19" x14ac:dyDescent="0.3">
      <c r="A1137" s="41"/>
      <c r="B1137" s="41"/>
      <c r="C1137" s="41"/>
      <c r="D1137" s="41"/>
      <c r="E1137" s="41"/>
      <c r="F1137" s="41"/>
      <c r="G1137" s="41"/>
      <c r="H1137" s="41"/>
      <c r="I1137" s="41"/>
      <c r="J1137" s="41"/>
      <c r="K1137" s="41"/>
      <c r="L1137" s="41"/>
      <c r="M1137" s="41"/>
      <c r="N1137" s="41"/>
      <c r="O1137" s="41"/>
      <c r="P1137" s="41"/>
      <c r="Q1137" s="41"/>
      <c r="R1137" s="41"/>
      <c r="S1137" s="41"/>
    </row>
    <row r="1138" spans="1:19" x14ac:dyDescent="0.3">
      <c r="A1138" s="41"/>
      <c r="B1138" s="41"/>
      <c r="C1138" s="41"/>
      <c r="D1138" s="41"/>
      <c r="E1138" s="41"/>
      <c r="F1138" s="41"/>
      <c r="G1138" s="41"/>
      <c r="H1138" s="41"/>
      <c r="I1138" s="41"/>
      <c r="J1138" s="41"/>
      <c r="K1138" s="41"/>
      <c r="L1138" s="41"/>
      <c r="M1138" s="41"/>
      <c r="N1138" s="41"/>
      <c r="O1138" s="41"/>
      <c r="P1138" s="41"/>
      <c r="Q1138" s="41"/>
      <c r="R1138" s="41"/>
      <c r="S1138" s="41"/>
    </row>
    <row r="1139" spans="1:19" x14ac:dyDescent="0.3">
      <c r="A1139" s="41"/>
      <c r="B1139" s="41"/>
      <c r="C1139" s="41"/>
      <c r="D1139" s="41"/>
      <c r="E1139" s="41"/>
      <c r="F1139" s="41"/>
      <c r="G1139" s="41"/>
      <c r="H1139" s="41"/>
      <c r="I1139" s="41"/>
      <c r="J1139" s="41"/>
      <c r="K1139" s="41"/>
      <c r="L1139" s="41"/>
      <c r="M1139" s="41"/>
      <c r="N1139" s="41"/>
      <c r="O1139" s="41"/>
      <c r="P1139" s="41"/>
      <c r="Q1139" s="41"/>
      <c r="R1139" s="41"/>
      <c r="S1139" s="41"/>
    </row>
    <row r="1140" spans="1:19" x14ac:dyDescent="0.3">
      <c r="A1140" s="41"/>
      <c r="B1140" s="41"/>
      <c r="C1140" s="41"/>
      <c r="D1140" s="41"/>
      <c r="E1140" s="41"/>
      <c r="F1140" s="41"/>
      <c r="G1140" s="41"/>
      <c r="H1140" s="41"/>
      <c r="I1140" s="41"/>
      <c r="J1140" s="41"/>
      <c r="K1140" s="41"/>
      <c r="L1140" s="41"/>
      <c r="M1140" s="41"/>
      <c r="N1140" s="41"/>
      <c r="O1140" s="41"/>
      <c r="P1140" s="41"/>
      <c r="Q1140" s="41"/>
      <c r="R1140" s="41"/>
      <c r="S1140" s="41"/>
    </row>
    <row r="1141" spans="1:19" x14ac:dyDescent="0.3">
      <c r="A1141" s="41"/>
      <c r="B1141" s="41"/>
      <c r="C1141" s="41"/>
      <c r="D1141" s="41"/>
      <c r="E1141" s="41"/>
      <c r="F1141" s="41"/>
      <c r="G1141" s="41"/>
      <c r="H1141" s="41"/>
      <c r="I1141" s="41"/>
      <c r="J1141" s="41"/>
      <c r="K1141" s="41"/>
      <c r="L1141" s="41"/>
      <c r="M1141" s="41"/>
      <c r="N1141" s="41"/>
      <c r="O1141" s="41"/>
      <c r="P1141" s="41"/>
      <c r="Q1141" s="41"/>
      <c r="R1141" s="41"/>
      <c r="S1141" s="41"/>
    </row>
    <row r="1142" spans="1:19" x14ac:dyDescent="0.3">
      <c r="A1142" s="41"/>
      <c r="B1142" s="41"/>
      <c r="C1142" s="41"/>
      <c r="D1142" s="41"/>
      <c r="E1142" s="41"/>
      <c r="F1142" s="41"/>
      <c r="G1142" s="41"/>
      <c r="H1142" s="41"/>
      <c r="I1142" s="41"/>
      <c r="J1142" s="41"/>
      <c r="K1142" s="41"/>
      <c r="L1142" s="41"/>
      <c r="M1142" s="41"/>
      <c r="N1142" s="41"/>
      <c r="O1142" s="41"/>
      <c r="P1142" s="41"/>
      <c r="Q1142" s="41"/>
      <c r="R1142" s="41"/>
      <c r="S1142" s="41"/>
    </row>
    <row r="1143" spans="1:19" x14ac:dyDescent="0.3">
      <c r="A1143" s="41"/>
      <c r="B1143" s="41"/>
      <c r="C1143" s="41"/>
      <c r="D1143" s="41"/>
      <c r="E1143" s="41"/>
      <c r="F1143" s="41"/>
      <c r="G1143" s="41"/>
      <c r="H1143" s="41"/>
      <c r="I1143" s="41"/>
      <c r="J1143" s="41"/>
      <c r="K1143" s="41"/>
      <c r="L1143" s="41"/>
      <c r="M1143" s="41"/>
      <c r="N1143" s="41"/>
      <c r="O1143" s="41"/>
      <c r="P1143" s="41"/>
      <c r="Q1143" s="41"/>
      <c r="R1143" s="41"/>
      <c r="S1143" s="41"/>
    </row>
    <row r="1144" spans="1:19" x14ac:dyDescent="0.3">
      <c r="A1144" s="41"/>
      <c r="B1144" s="41"/>
      <c r="C1144" s="41"/>
      <c r="D1144" s="41"/>
      <c r="E1144" s="41"/>
      <c r="F1144" s="41"/>
      <c r="G1144" s="41"/>
      <c r="H1144" s="41"/>
      <c r="I1144" s="41"/>
      <c r="J1144" s="41"/>
      <c r="K1144" s="41"/>
      <c r="L1144" s="41"/>
      <c r="M1144" s="41"/>
      <c r="N1144" s="41"/>
      <c r="O1144" s="41"/>
      <c r="P1144" s="41"/>
      <c r="Q1144" s="41"/>
      <c r="R1144" s="41"/>
      <c r="S1144" s="41"/>
    </row>
    <row r="1145" spans="1:19" x14ac:dyDescent="0.3">
      <c r="A1145" s="41"/>
      <c r="B1145" s="41"/>
      <c r="C1145" s="41"/>
      <c r="D1145" s="41"/>
      <c r="E1145" s="41"/>
      <c r="F1145" s="41"/>
      <c r="G1145" s="41"/>
      <c r="H1145" s="41"/>
      <c r="I1145" s="41"/>
      <c r="J1145" s="41"/>
      <c r="K1145" s="41"/>
      <c r="L1145" s="41"/>
      <c r="M1145" s="41"/>
      <c r="N1145" s="41"/>
      <c r="O1145" s="41"/>
      <c r="P1145" s="41"/>
      <c r="Q1145" s="41"/>
      <c r="R1145" s="41"/>
      <c r="S1145" s="41"/>
    </row>
    <row r="1146" spans="1:19" x14ac:dyDescent="0.3">
      <c r="A1146" s="41"/>
      <c r="B1146" s="41"/>
      <c r="C1146" s="41"/>
      <c r="D1146" s="41"/>
      <c r="E1146" s="41"/>
      <c r="F1146" s="41"/>
      <c r="G1146" s="41"/>
      <c r="H1146" s="41"/>
      <c r="I1146" s="41"/>
      <c r="J1146" s="41"/>
      <c r="K1146" s="41"/>
      <c r="L1146" s="41"/>
      <c r="M1146" s="41"/>
      <c r="N1146" s="41"/>
      <c r="O1146" s="41"/>
      <c r="P1146" s="41"/>
      <c r="Q1146" s="41"/>
      <c r="R1146" s="41"/>
      <c r="S1146" s="41"/>
    </row>
    <row r="1147" spans="1:19" x14ac:dyDescent="0.3">
      <c r="A1147" s="41"/>
      <c r="B1147" s="41"/>
      <c r="C1147" s="41"/>
      <c r="D1147" s="41"/>
      <c r="E1147" s="41"/>
      <c r="F1147" s="41"/>
      <c r="G1147" s="41"/>
      <c r="H1147" s="41"/>
      <c r="I1147" s="41"/>
      <c r="J1147" s="41"/>
      <c r="K1147" s="41"/>
      <c r="L1147" s="41"/>
      <c r="M1147" s="41"/>
      <c r="N1147" s="41"/>
      <c r="O1147" s="41"/>
      <c r="P1147" s="41"/>
      <c r="Q1147" s="41"/>
      <c r="R1147" s="41"/>
      <c r="S1147" s="41"/>
    </row>
    <row r="1148" spans="1:19" x14ac:dyDescent="0.3">
      <c r="A1148" s="41"/>
      <c r="B1148" s="41"/>
      <c r="C1148" s="41"/>
      <c r="D1148" s="41"/>
      <c r="E1148" s="41"/>
      <c r="F1148" s="41"/>
      <c r="G1148" s="41"/>
      <c r="H1148" s="41"/>
      <c r="I1148" s="41"/>
      <c r="J1148" s="41"/>
      <c r="K1148" s="41"/>
      <c r="L1148" s="41"/>
      <c r="M1148" s="41"/>
      <c r="N1148" s="41"/>
      <c r="O1148" s="41"/>
      <c r="P1148" s="41"/>
      <c r="Q1148" s="41"/>
      <c r="R1148" s="41"/>
      <c r="S1148" s="41"/>
    </row>
    <row r="1149" spans="1:19" x14ac:dyDescent="0.3">
      <c r="A1149" s="41"/>
      <c r="B1149" s="41"/>
      <c r="C1149" s="41"/>
      <c r="D1149" s="41"/>
      <c r="E1149" s="41"/>
      <c r="F1149" s="41"/>
      <c r="G1149" s="41"/>
      <c r="H1149" s="41"/>
      <c r="I1149" s="41"/>
      <c r="J1149" s="41"/>
      <c r="K1149" s="41"/>
      <c r="L1149" s="41"/>
      <c r="M1149" s="41"/>
      <c r="N1149" s="41"/>
      <c r="O1149" s="41"/>
      <c r="P1149" s="41"/>
      <c r="Q1149" s="41"/>
      <c r="R1149" s="41"/>
      <c r="S1149" s="41"/>
    </row>
    <row r="1150" spans="1:19" x14ac:dyDescent="0.3">
      <c r="A1150" s="41"/>
      <c r="B1150" s="41"/>
      <c r="C1150" s="41"/>
      <c r="D1150" s="41"/>
      <c r="E1150" s="41"/>
      <c r="F1150" s="41"/>
      <c r="G1150" s="41"/>
      <c r="H1150" s="41"/>
      <c r="I1150" s="41"/>
      <c r="J1150" s="41"/>
      <c r="K1150" s="41"/>
      <c r="L1150" s="41"/>
      <c r="M1150" s="41"/>
      <c r="N1150" s="41"/>
      <c r="O1150" s="41"/>
      <c r="P1150" s="41"/>
      <c r="Q1150" s="41"/>
      <c r="R1150" s="41"/>
      <c r="S1150" s="41"/>
    </row>
    <row r="1151" spans="1:19" x14ac:dyDescent="0.3">
      <c r="A1151" s="41"/>
      <c r="B1151" s="41"/>
      <c r="C1151" s="41"/>
      <c r="D1151" s="41"/>
      <c r="E1151" s="41"/>
      <c r="F1151" s="41"/>
      <c r="G1151" s="41"/>
      <c r="H1151" s="41"/>
      <c r="I1151" s="41"/>
      <c r="J1151" s="41"/>
      <c r="K1151" s="41"/>
      <c r="L1151" s="41"/>
      <c r="M1151" s="41"/>
      <c r="N1151" s="41"/>
      <c r="O1151" s="41"/>
      <c r="P1151" s="41"/>
      <c r="Q1151" s="41"/>
      <c r="R1151" s="41"/>
      <c r="S1151" s="41"/>
    </row>
    <row r="1152" spans="1:19" x14ac:dyDescent="0.3">
      <c r="A1152" s="41"/>
      <c r="B1152" s="41"/>
      <c r="C1152" s="41"/>
      <c r="D1152" s="41"/>
      <c r="E1152" s="41"/>
      <c r="F1152" s="41"/>
      <c r="G1152" s="41"/>
      <c r="H1152" s="41"/>
      <c r="I1152" s="41"/>
      <c r="J1152" s="41"/>
      <c r="K1152" s="41"/>
      <c r="L1152" s="41"/>
      <c r="M1152" s="41"/>
      <c r="N1152" s="41"/>
      <c r="O1152" s="41"/>
      <c r="P1152" s="41"/>
      <c r="Q1152" s="41"/>
      <c r="R1152" s="41"/>
      <c r="S1152" s="41"/>
    </row>
    <row r="1153" spans="1:19" x14ac:dyDescent="0.3">
      <c r="A1153" s="41"/>
      <c r="B1153" s="41"/>
      <c r="C1153" s="41"/>
      <c r="D1153" s="41"/>
      <c r="E1153" s="41"/>
      <c r="F1153" s="41"/>
      <c r="G1153" s="41"/>
      <c r="H1153" s="41"/>
      <c r="I1153" s="41"/>
      <c r="J1153" s="41"/>
      <c r="K1153" s="41"/>
      <c r="L1153" s="41"/>
      <c r="M1153" s="41"/>
      <c r="N1153" s="41"/>
      <c r="O1153" s="41"/>
      <c r="P1153" s="41"/>
      <c r="Q1153" s="41"/>
      <c r="R1153" s="41"/>
      <c r="S1153" s="41"/>
    </row>
    <row r="1154" spans="1:19" x14ac:dyDescent="0.3">
      <c r="A1154" s="41"/>
      <c r="B1154" s="41"/>
      <c r="C1154" s="41"/>
      <c r="D1154" s="41"/>
      <c r="E1154" s="41"/>
      <c r="F1154" s="41"/>
      <c r="G1154" s="41"/>
      <c r="H1154" s="41"/>
      <c r="I1154" s="41"/>
      <c r="J1154" s="41"/>
      <c r="K1154" s="41"/>
      <c r="L1154" s="41"/>
      <c r="M1154" s="41"/>
      <c r="N1154" s="41"/>
      <c r="O1154" s="41"/>
      <c r="P1154" s="41"/>
      <c r="Q1154" s="41"/>
      <c r="R1154" s="41"/>
      <c r="S1154" s="41"/>
    </row>
    <row r="1155" spans="1:19" x14ac:dyDescent="0.3">
      <c r="A1155" s="41"/>
      <c r="B1155" s="41"/>
      <c r="C1155" s="41"/>
      <c r="D1155" s="41"/>
      <c r="E1155" s="41"/>
      <c r="F1155" s="41"/>
      <c r="G1155" s="41"/>
      <c r="H1155" s="41"/>
      <c r="I1155" s="41"/>
      <c r="J1155" s="41"/>
      <c r="K1155" s="41"/>
      <c r="L1155" s="41"/>
      <c r="M1155" s="41"/>
      <c r="N1155" s="41"/>
      <c r="O1155" s="41"/>
      <c r="P1155" s="41"/>
      <c r="Q1155" s="41"/>
      <c r="R1155" s="41"/>
      <c r="S1155" s="41"/>
    </row>
    <row r="1156" spans="1:19" x14ac:dyDescent="0.3">
      <c r="A1156" s="41"/>
      <c r="B1156" s="41"/>
      <c r="C1156" s="41"/>
      <c r="D1156" s="41"/>
      <c r="E1156" s="41"/>
      <c r="F1156" s="41"/>
      <c r="G1156" s="41"/>
      <c r="H1156" s="41"/>
      <c r="I1156" s="41"/>
      <c r="J1156" s="41"/>
      <c r="K1156" s="41"/>
      <c r="L1156" s="41"/>
      <c r="M1156" s="41"/>
      <c r="N1156" s="41"/>
      <c r="O1156" s="41"/>
      <c r="P1156" s="41"/>
      <c r="Q1156" s="41"/>
      <c r="R1156" s="41"/>
      <c r="S1156" s="41"/>
    </row>
    <row r="1157" spans="1:19" x14ac:dyDescent="0.3">
      <c r="A1157" s="41"/>
      <c r="B1157" s="41"/>
      <c r="C1157" s="41"/>
      <c r="D1157" s="41"/>
      <c r="E1157" s="41"/>
      <c r="F1157" s="41"/>
      <c r="G1157" s="41"/>
      <c r="H1157" s="41"/>
      <c r="I1157" s="41"/>
      <c r="J1157" s="41"/>
      <c r="K1157" s="41"/>
      <c r="L1157" s="41"/>
      <c r="M1157" s="41"/>
      <c r="N1157" s="41"/>
      <c r="O1157" s="41"/>
      <c r="P1157" s="41"/>
      <c r="Q1157" s="41"/>
      <c r="R1157" s="41"/>
      <c r="S1157" s="41"/>
    </row>
    <row r="1158" spans="1:19" x14ac:dyDescent="0.3">
      <c r="A1158" s="41"/>
      <c r="B1158" s="41"/>
      <c r="C1158" s="41"/>
      <c r="D1158" s="41"/>
      <c r="E1158" s="41"/>
      <c r="F1158" s="41"/>
      <c r="G1158" s="41"/>
      <c r="H1158" s="41"/>
      <c r="I1158" s="41"/>
      <c r="J1158" s="41"/>
      <c r="K1158" s="41"/>
      <c r="L1158" s="41"/>
      <c r="M1158" s="41"/>
      <c r="N1158" s="41"/>
      <c r="O1158" s="41"/>
      <c r="P1158" s="41"/>
      <c r="Q1158" s="41"/>
      <c r="R1158" s="41"/>
      <c r="S1158" s="41"/>
    </row>
    <row r="1159" spans="1:19" x14ac:dyDescent="0.3">
      <c r="A1159" s="41"/>
      <c r="B1159" s="41"/>
      <c r="C1159" s="41"/>
      <c r="D1159" s="41"/>
      <c r="E1159" s="41"/>
      <c r="F1159" s="41"/>
      <c r="G1159" s="41"/>
      <c r="H1159" s="41"/>
      <c r="I1159" s="41"/>
      <c r="J1159" s="41"/>
      <c r="K1159" s="41"/>
      <c r="L1159" s="41"/>
      <c r="M1159" s="41"/>
      <c r="N1159" s="41"/>
      <c r="O1159" s="41"/>
      <c r="P1159" s="41"/>
      <c r="Q1159" s="41"/>
      <c r="R1159" s="41"/>
      <c r="S1159" s="41"/>
    </row>
    <row r="1160" spans="1:19" x14ac:dyDescent="0.3">
      <c r="A1160" s="41"/>
      <c r="B1160" s="41"/>
      <c r="C1160" s="41"/>
      <c r="D1160" s="41"/>
      <c r="E1160" s="41"/>
      <c r="F1160" s="41"/>
      <c r="G1160" s="41"/>
      <c r="H1160" s="41"/>
      <c r="I1160" s="41"/>
      <c r="J1160" s="41"/>
      <c r="K1160" s="41"/>
      <c r="L1160" s="41"/>
      <c r="M1160" s="41"/>
      <c r="N1160" s="41"/>
      <c r="O1160" s="41"/>
      <c r="P1160" s="41"/>
      <c r="Q1160" s="41"/>
      <c r="R1160" s="41"/>
      <c r="S1160" s="41"/>
    </row>
    <row r="1161" spans="1:19" x14ac:dyDescent="0.3">
      <c r="A1161" s="41"/>
      <c r="B1161" s="41"/>
      <c r="C1161" s="41"/>
      <c r="D1161" s="41"/>
      <c r="E1161" s="41"/>
      <c r="F1161" s="41"/>
      <c r="G1161" s="41"/>
      <c r="H1161" s="41"/>
      <c r="I1161" s="41"/>
      <c r="J1161" s="41"/>
      <c r="K1161" s="41"/>
      <c r="L1161" s="41"/>
      <c r="M1161" s="41"/>
      <c r="N1161" s="41"/>
      <c r="O1161" s="41"/>
      <c r="P1161" s="41"/>
      <c r="Q1161" s="41"/>
      <c r="R1161" s="41"/>
      <c r="S1161" s="41"/>
    </row>
    <row r="1162" spans="1:19" x14ac:dyDescent="0.3">
      <c r="A1162" s="41"/>
      <c r="B1162" s="41"/>
      <c r="C1162" s="41"/>
      <c r="D1162" s="41"/>
      <c r="E1162" s="41"/>
      <c r="F1162" s="41"/>
      <c r="G1162" s="41"/>
      <c r="H1162" s="41"/>
      <c r="I1162" s="41"/>
      <c r="J1162" s="41"/>
      <c r="K1162" s="41"/>
      <c r="L1162" s="41"/>
      <c r="M1162" s="41"/>
      <c r="N1162" s="41"/>
      <c r="O1162" s="41"/>
      <c r="P1162" s="41"/>
      <c r="Q1162" s="41"/>
      <c r="R1162" s="41"/>
      <c r="S1162" s="41"/>
    </row>
    <row r="1163" spans="1:19" x14ac:dyDescent="0.3">
      <c r="A1163" s="41"/>
      <c r="B1163" s="41"/>
      <c r="C1163" s="41"/>
      <c r="D1163" s="41"/>
      <c r="E1163" s="41"/>
      <c r="F1163" s="41"/>
      <c r="G1163" s="41"/>
      <c r="H1163" s="41"/>
      <c r="I1163" s="41"/>
      <c r="J1163" s="41"/>
      <c r="K1163" s="41"/>
      <c r="L1163" s="41"/>
      <c r="M1163" s="41"/>
      <c r="N1163" s="41"/>
      <c r="O1163" s="41"/>
      <c r="P1163" s="41"/>
      <c r="Q1163" s="41"/>
      <c r="R1163" s="41"/>
      <c r="S1163" s="41"/>
    </row>
    <row r="1164" spans="1:19" x14ac:dyDescent="0.3">
      <c r="A1164" s="41"/>
      <c r="B1164" s="41"/>
      <c r="C1164" s="41"/>
      <c r="D1164" s="41"/>
      <c r="E1164" s="41"/>
      <c r="F1164" s="41"/>
      <c r="G1164" s="41"/>
      <c r="H1164" s="41"/>
      <c r="I1164" s="41"/>
      <c r="J1164" s="41"/>
      <c r="K1164" s="41"/>
      <c r="L1164" s="41"/>
      <c r="M1164" s="41"/>
      <c r="N1164" s="41"/>
      <c r="O1164" s="41"/>
      <c r="P1164" s="41"/>
      <c r="Q1164" s="41"/>
      <c r="R1164" s="41"/>
      <c r="S1164" s="41"/>
    </row>
    <row r="1165" spans="1:19" x14ac:dyDescent="0.3">
      <c r="A1165" s="41"/>
      <c r="B1165" s="41"/>
      <c r="C1165" s="41"/>
      <c r="D1165" s="41"/>
      <c r="E1165" s="41"/>
      <c r="F1165" s="41"/>
      <c r="G1165" s="41"/>
      <c r="H1165" s="41"/>
      <c r="I1165" s="41"/>
      <c r="J1165" s="41"/>
      <c r="K1165" s="41"/>
      <c r="L1165" s="41"/>
      <c r="M1165" s="41"/>
      <c r="N1165" s="41"/>
      <c r="O1165" s="41"/>
      <c r="P1165" s="41"/>
      <c r="Q1165" s="41"/>
      <c r="R1165" s="41"/>
      <c r="S1165" s="41"/>
    </row>
    <row r="1166" spans="1:19" x14ac:dyDescent="0.3">
      <c r="A1166" s="41"/>
      <c r="B1166" s="41"/>
      <c r="C1166" s="41"/>
      <c r="D1166" s="41"/>
      <c r="E1166" s="41"/>
      <c r="F1166" s="41"/>
      <c r="G1166" s="41"/>
      <c r="H1166" s="41"/>
      <c r="I1166" s="41"/>
      <c r="J1166" s="41"/>
      <c r="K1166" s="41"/>
      <c r="L1166" s="41"/>
      <c r="M1166" s="41"/>
      <c r="N1166" s="41"/>
      <c r="O1166" s="41"/>
      <c r="P1166" s="41"/>
      <c r="Q1166" s="41"/>
      <c r="R1166" s="41"/>
      <c r="S1166" s="41"/>
    </row>
    <row r="1167" spans="1:19" x14ac:dyDescent="0.3">
      <c r="A1167" s="41"/>
      <c r="B1167" s="41"/>
      <c r="C1167" s="41"/>
      <c r="D1167" s="41"/>
      <c r="E1167" s="41"/>
      <c r="F1167" s="41"/>
      <c r="G1167" s="41"/>
      <c r="H1167" s="41"/>
      <c r="I1167" s="41"/>
      <c r="J1167" s="41"/>
      <c r="K1167" s="41"/>
      <c r="L1167" s="41"/>
      <c r="M1167" s="41"/>
      <c r="N1167" s="41"/>
      <c r="O1167" s="41"/>
      <c r="P1167" s="41"/>
      <c r="Q1167" s="41"/>
      <c r="R1167" s="41"/>
      <c r="S1167" s="41"/>
    </row>
    <row r="1168" spans="1:19" x14ac:dyDescent="0.3">
      <c r="A1168" s="41"/>
      <c r="B1168" s="41"/>
      <c r="C1168" s="41"/>
      <c r="D1168" s="41"/>
      <c r="E1168" s="41"/>
      <c r="F1168" s="41"/>
      <c r="G1168" s="41"/>
      <c r="H1168" s="41"/>
      <c r="I1168" s="41"/>
      <c r="J1168" s="41"/>
      <c r="K1168" s="41"/>
      <c r="L1168" s="41"/>
      <c r="M1168" s="41"/>
      <c r="N1168" s="41"/>
      <c r="O1168" s="41"/>
      <c r="P1168" s="41"/>
      <c r="Q1168" s="41"/>
      <c r="R1168" s="41"/>
      <c r="S1168" s="41"/>
    </row>
    <row r="1169" spans="1:19" x14ac:dyDescent="0.3">
      <c r="A1169" s="41"/>
      <c r="B1169" s="41"/>
      <c r="C1169" s="41"/>
      <c r="D1169" s="41"/>
      <c r="E1169" s="41"/>
      <c r="F1169" s="41"/>
      <c r="G1169" s="41"/>
      <c r="H1169" s="41"/>
      <c r="I1169" s="41"/>
      <c r="J1169" s="41"/>
      <c r="K1169" s="41"/>
      <c r="L1169" s="41"/>
      <c r="M1169" s="41"/>
      <c r="N1169" s="41"/>
      <c r="O1169" s="41"/>
      <c r="P1169" s="41"/>
      <c r="Q1169" s="41"/>
      <c r="R1169" s="41"/>
      <c r="S1169" s="41"/>
    </row>
    <row r="1170" spans="1:19" x14ac:dyDescent="0.3">
      <c r="A1170" s="41"/>
      <c r="B1170" s="41"/>
      <c r="C1170" s="41"/>
      <c r="D1170" s="41"/>
      <c r="E1170" s="41"/>
      <c r="F1170" s="41"/>
      <c r="G1170" s="41"/>
      <c r="H1170" s="41"/>
      <c r="I1170" s="41"/>
      <c r="J1170" s="41"/>
      <c r="K1170" s="41"/>
      <c r="L1170" s="41"/>
      <c r="M1170" s="41"/>
      <c r="N1170" s="41"/>
      <c r="O1170" s="41"/>
      <c r="P1170" s="41"/>
      <c r="Q1170" s="41"/>
      <c r="R1170" s="41"/>
      <c r="S1170" s="41"/>
    </row>
    <row r="1171" spans="1:19" x14ac:dyDescent="0.3">
      <c r="A1171" s="41"/>
      <c r="B1171" s="41"/>
      <c r="C1171" s="41"/>
      <c r="D1171" s="41"/>
      <c r="E1171" s="41"/>
      <c r="F1171" s="41"/>
      <c r="G1171" s="41"/>
      <c r="H1171" s="41"/>
      <c r="I1171" s="41"/>
      <c r="J1171" s="41"/>
      <c r="K1171" s="41"/>
      <c r="L1171" s="41"/>
      <c r="M1171" s="41"/>
      <c r="N1171" s="41"/>
      <c r="O1171" s="41"/>
      <c r="P1171" s="41"/>
      <c r="Q1171" s="41"/>
      <c r="R1171" s="41"/>
      <c r="S1171" s="41"/>
    </row>
    <row r="1172" spans="1:19" x14ac:dyDescent="0.3">
      <c r="A1172" s="41"/>
      <c r="B1172" s="41"/>
      <c r="C1172" s="41"/>
      <c r="D1172" s="41"/>
      <c r="E1172" s="41"/>
      <c r="F1172" s="41"/>
      <c r="G1172" s="41"/>
      <c r="H1172" s="41"/>
      <c r="I1172" s="41"/>
      <c r="J1172" s="41"/>
      <c r="K1172" s="41"/>
      <c r="L1172" s="41"/>
      <c r="M1172" s="41"/>
      <c r="N1172" s="41"/>
      <c r="O1172" s="41"/>
      <c r="P1172" s="41"/>
      <c r="Q1172" s="41"/>
      <c r="R1172" s="41"/>
      <c r="S1172" s="41"/>
    </row>
    <row r="1173" spans="1:19" x14ac:dyDescent="0.3">
      <c r="A1173" s="41"/>
      <c r="B1173" s="41"/>
      <c r="C1173" s="41"/>
      <c r="D1173" s="41"/>
      <c r="E1173" s="41"/>
      <c r="F1173" s="41"/>
      <c r="G1173" s="41"/>
      <c r="H1173" s="41"/>
      <c r="I1173" s="41"/>
      <c r="J1173" s="41"/>
      <c r="K1173" s="41"/>
      <c r="L1173" s="41"/>
      <c r="M1173" s="41"/>
      <c r="N1173" s="41"/>
      <c r="O1173" s="41"/>
      <c r="P1173" s="41"/>
      <c r="Q1173" s="41"/>
      <c r="R1173" s="41"/>
      <c r="S1173" s="41"/>
    </row>
    <row r="1174" spans="1:19" x14ac:dyDescent="0.3">
      <c r="A1174" s="41"/>
      <c r="B1174" s="41"/>
      <c r="C1174" s="41"/>
      <c r="D1174" s="41"/>
      <c r="E1174" s="41"/>
      <c r="F1174" s="41"/>
      <c r="G1174" s="41"/>
      <c r="H1174" s="41"/>
      <c r="I1174" s="41"/>
      <c r="J1174" s="41"/>
      <c r="K1174" s="41"/>
      <c r="L1174" s="41"/>
      <c r="M1174" s="41"/>
      <c r="N1174" s="41"/>
      <c r="O1174" s="41"/>
      <c r="P1174" s="41"/>
      <c r="Q1174" s="41"/>
      <c r="R1174" s="41"/>
      <c r="S1174" s="41"/>
    </row>
    <row r="1175" spans="1:19" x14ac:dyDescent="0.3">
      <c r="A1175" s="41"/>
      <c r="B1175" s="41"/>
      <c r="C1175" s="41"/>
      <c r="D1175" s="41"/>
      <c r="E1175" s="41"/>
      <c r="F1175" s="41"/>
      <c r="G1175" s="41"/>
      <c r="H1175" s="41"/>
      <c r="I1175" s="41"/>
      <c r="J1175" s="41"/>
      <c r="K1175" s="41"/>
      <c r="L1175" s="41"/>
      <c r="M1175" s="41"/>
      <c r="N1175" s="41"/>
      <c r="O1175" s="41"/>
      <c r="P1175" s="41"/>
      <c r="Q1175" s="41"/>
      <c r="R1175" s="41"/>
      <c r="S1175" s="41"/>
    </row>
    <row r="1176" spans="1:19" x14ac:dyDescent="0.3">
      <c r="A1176" s="41"/>
      <c r="B1176" s="41"/>
      <c r="C1176" s="41"/>
      <c r="D1176" s="41"/>
      <c r="E1176" s="41"/>
      <c r="F1176" s="41"/>
      <c r="G1176" s="41"/>
      <c r="H1176" s="41"/>
      <c r="I1176" s="41"/>
      <c r="J1176" s="41"/>
      <c r="K1176" s="41"/>
      <c r="L1176" s="41"/>
      <c r="M1176" s="41"/>
      <c r="N1176" s="41"/>
      <c r="O1176" s="41"/>
      <c r="P1176" s="41"/>
      <c r="Q1176" s="41"/>
      <c r="R1176" s="41"/>
      <c r="S1176" s="41"/>
    </row>
    <row r="1177" spans="1:19" x14ac:dyDescent="0.3">
      <c r="A1177" s="41"/>
      <c r="B1177" s="41"/>
      <c r="C1177" s="41"/>
      <c r="D1177" s="41"/>
      <c r="E1177" s="41"/>
      <c r="F1177" s="41"/>
      <c r="G1177" s="41"/>
      <c r="H1177" s="41"/>
      <c r="I1177" s="41"/>
      <c r="J1177" s="41"/>
      <c r="K1177" s="41"/>
      <c r="L1177" s="41"/>
      <c r="M1177" s="41"/>
      <c r="N1177" s="41"/>
      <c r="O1177" s="41"/>
      <c r="P1177" s="41"/>
      <c r="Q1177" s="41"/>
      <c r="R1177" s="41"/>
      <c r="S1177" s="41"/>
    </row>
    <row r="1178" spans="1:19" x14ac:dyDescent="0.3">
      <c r="A1178" s="41"/>
      <c r="B1178" s="41"/>
      <c r="C1178" s="41"/>
      <c r="D1178" s="41"/>
      <c r="E1178" s="41"/>
      <c r="F1178" s="41"/>
      <c r="G1178" s="41"/>
      <c r="H1178" s="41"/>
      <c r="I1178" s="41"/>
      <c r="J1178" s="41"/>
      <c r="K1178" s="41"/>
      <c r="L1178" s="41"/>
      <c r="M1178" s="41"/>
      <c r="N1178" s="41"/>
      <c r="O1178" s="41"/>
      <c r="P1178" s="41"/>
      <c r="Q1178" s="41"/>
      <c r="R1178" s="41"/>
      <c r="S1178" s="41"/>
    </row>
    <row r="1179" spans="1:19" x14ac:dyDescent="0.3">
      <c r="A1179" s="41"/>
      <c r="B1179" s="41"/>
      <c r="C1179" s="41"/>
      <c r="D1179" s="41"/>
      <c r="E1179" s="41"/>
      <c r="F1179" s="41"/>
      <c r="G1179" s="41"/>
      <c r="H1179" s="41"/>
      <c r="I1179" s="41"/>
      <c r="J1179" s="41"/>
      <c r="K1179" s="41"/>
      <c r="L1179" s="41"/>
      <c r="M1179" s="41"/>
      <c r="N1179" s="41"/>
      <c r="O1179" s="41"/>
      <c r="P1179" s="41"/>
      <c r="Q1179" s="41"/>
      <c r="R1179" s="41"/>
      <c r="S1179" s="41"/>
    </row>
    <row r="1180" spans="1:19" x14ac:dyDescent="0.3">
      <c r="A1180" s="41"/>
      <c r="B1180" s="41"/>
      <c r="C1180" s="41"/>
      <c r="D1180" s="41"/>
      <c r="E1180" s="41"/>
      <c r="F1180" s="41"/>
      <c r="G1180" s="41"/>
      <c r="H1180" s="41"/>
      <c r="I1180" s="41"/>
      <c r="J1180" s="41"/>
      <c r="K1180" s="41"/>
      <c r="L1180" s="41"/>
      <c r="M1180" s="41"/>
      <c r="N1180" s="41"/>
      <c r="O1180" s="41"/>
      <c r="P1180" s="41"/>
      <c r="Q1180" s="41"/>
      <c r="R1180" s="41"/>
      <c r="S1180" s="41"/>
    </row>
    <row r="1181" spans="1:19" x14ac:dyDescent="0.3">
      <c r="A1181" s="41"/>
      <c r="B1181" s="41"/>
      <c r="C1181" s="41"/>
      <c r="D1181" s="41"/>
      <c r="E1181" s="41"/>
      <c r="F1181" s="41"/>
      <c r="G1181" s="41"/>
      <c r="H1181" s="41"/>
      <c r="I1181" s="41"/>
      <c r="J1181" s="41"/>
      <c r="K1181" s="41"/>
      <c r="L1181" s="41"/>
      <c r="M1181" s="41"/>
      <c r="N1181" s="41"/>
      <c r="O1181" s="41"/>
      <c r="P1181" s="41"/>
      <c r="Q1181" s="41"/>
      <c r="R1181" s="41"/>
      <c r="S1181" s="41"/>
    </row>
    <row r="1182" spans="1:19" x14ac:dyDescent="0.3">
      <c r="A1182" s="41"/>
      <c r="B1182" s="41"/>
      <c r="C1182" s="41"/>
      <c r="D1182" s="41"/>
      <c r="E1182" s="41"/>
      <c r="F1182" s="41"/>
      <c r="G1182" s="41"/>
      <c r="H1182" s="41"/>
      <c r="I1182" s="41"/>
      <c r="J1182" s="41"/>
      <c r="K1182" s="41"/>
      <c r="L1182" s="41"/>
      <c r="M1182" s="41"/>
      <c r="N1182" s="41"/>
      <c r="O1182" s="41"/>
      <c r="P1182" s="41"/>
      <c r="Q1182" s="41"/>
      <c r="R1182" s="41"/>
      <c r="S1182" s="41"/>
    </row>
    <row r="1183" spans="1:19" x14ac:dyDescent="0.3">
      <c r="A1183" s="41"/>
      <c r="B1183" s="41"/>
      <c r="C1183" s="41"/>
      <c r="D1183" s="41"/>
      <c r="E1183" s="41"/>
      <c r="F1183" s="41"/>
      <c r="G1183" s="41"/>
      <c r="H1183" s="41"/>
      <c r="I1183" s="41"/>
      <c r="J1183" s="41"/>
      <c r="K1183" s="41"/>
      <c r="L1183" s="41"/>
      <c r="M1183" s="41"/>
      <c r="N1183" s="41"/>
      <c r="O1183" s="41"/>
      <c r="P1183" s="41"/>
      <c r="Q1183" s="41"/>
      <c r="R1183" s="41"/>
      <c r="S1183" s="41"/>
    </row>
    <row r="1184" spans="1:19" x14ac:dyDescent="0.3">
      <c r="A1184" s="41"/>
      <c r="B1184" s="41"/>
      <c r="C1184" s="41"/>
      <c r="D1184" s="41"/>
      <c r="E1184" s="41"/>
      <c r="F1184" s="41"/>
      <c r="G1184" s="41"/>
      <c r="H1184" s="41"/>
      <c r="I1184" s="41"/>
      <c r="J1184" s="41"/>
      <c r="K1184" s="41"/>
      <c r="L1184" s="41"/>
      <c r="M1184" s="41"/>
      <c r="N1184" s="41"/>
      <c r="O1184" s="41"/>
      <c r="P1184" s="41"/>
      <c r="Q1184" s="41"/>
      <c r="R1184" s="41"/>
      <c r="S1184" s="41"/>
    </row>
    <row r="1185" spans="1:19" x14ac:dyDescent="0.3">
      <c r="A1185" s="41"/>
      <c r="B1185" s="41"/>
      <c r="C1185" s="41"/>
      <c r="D1185" s="41"/>
      <c r="E1185" s="41"/>
      <c r="F1185" s="41"/>
      <c r="G1185" s="41"/>
      <c r="H1185" s="41"/>
      <c r="I1185" s="41"/>
      <c r="J1185" s="41"/>
      <c r="K1185" s="41"/>
      <c r="L1185" s="41"/>
      <c r="M1185" s="41"/>
      <c r="N1185" s="41"/>
      <c r="O1185" s="41"/>
      <c r="P1185" s="41"/>
      <c r="Q1185" s="41"/>
      <c r="R1185" s="41"/>
      <c r="S1185" s="41"/>
    </row>
    <row r="1186" spans="1:19" x14ac:dyDescent="0.3">
      <c r="A1186" s="41"/>
      <c r="B1186" s="41"/>
      <c r="C1186" s="41"/>
      <c r="D1186" s="41"/>
      <c r="E1186" s="41"/>
      <c r="F1186" s="41"/>
      <c r="G1186" s="41"/>
      <c r="H1186" s="41"/>
      <c r="I1186" s="41"/>
      <c r="J1186" s="41"/>
      <c r="K1186" s="41"/>
      <c r="L1186" s="41"/>
      <c r="M1186" s="41"/>
      <c r="N1186" s="41"/>
      <c r="O1186" s="41"/>
      <c r="P1186" s="41"/>
      <c r="Q1186" s="41"/>
      <c r="R1186" s="41"/>
      <c r="S1186" s="41"/>
    </row>
    <row r="1187" spans="1:19" x14ac:dyDescent="0.3">
      <c r="A1187" s="41"/>
      <c r="B1187" s="41"/>
      <c r="C1187" s="41"/>
      <c r="D1187" s="41"/>
      <c r="E1187" s="41"/>
      <c r="F1187" s="41"/>
      <c r="G1187" s="41"/>
      <c r="H1187" s="41"/>
      <c r="I1187" s="41"/>
      <c r="J1187" s="41"/>
      <c r="K1187" s="41"/>
      <c r="L1187" s="41"/>
      <c r="M1187" s="41"/>
      <c r="N1187" s="41"/>
      <c r="O1187" s="41"/>
      <c r="P1187" s="41"/>
      <c r="Q1187" s="41"/>
      <c r="R1187" s="41"/>
      <c r="S1187" s="41"/>
    </row>
    <row r="1188" spans="1:19" x14ac:dyDescent="0.3">
      <c r="A1188" s="41"/>
      <c r="B1188" s="41"/>
      <c r="C1188" s="41"/>
      <c r="D1188" s="41"/>
      <c r="E1188" s="41"/>
      <c r="F1188" s="41"/>
      <c r="G1188" s="41"/>
      <c r="H1188" s="41"/>
      <c r="I1188" s="41"/>
      <c r="J1188" s="41"/>
      <c r="K1188" s="41"/>
      <c r="L1188" s="41"/>
      <c r="M1188" s="41"/>
      <c r="N1188" s="41"/>
      <c r="O1188" s="41"/>
      <c r="P1188" s="41"/>
      <c r="Q1188" s="41"/>
      <c r="R1188" s="41"/>
      <c r="S1188" s="41"/>
    </row>
    <row r="1189" spans="1:19" x14ac:dyDescent="0.3">
      <c r="A1189" s="41"/>
      <c r="B1189" s="41"/>
      <c r="C1189" s="41"/>
      <c r="D1189" s="41"/>
      <c r="E1189" s="41"/>
      <c r="F1189" s="41"/>
      <c r="G1189" s="41"/>
      <c r="H1189" s="41"/>
      <c r="I1189" s="41"/>
      <c r="J1189" s="41"/>
      <c r="K1189" s="41"/>
      <c r="L1189" s="41"/>
      <c r="M1189" s="41"/>
      <c r="N1189" s="41"/>
      <c r="O1189" s="41"/>
      <c r="P1189" s="41"/>
      <c r="Q1189" s="41"/>
      <c r="R1189" s="41"/>
      <c r="S1189" s="41"/>
    </row>
    <row r="1190" spans="1:19" x14ac:dyDescent="0.3">
      <c r="A1190" s="41"/>
      <c r="B1190" s="41"/>
      <c r="C1190" s="41"/>
      <c r="D1190" s="41"/>
      <c r="E1190" s="41"/>
      <c r="F1190" s="41"/>
      <c r="G1190" s="41"/>
      <c r="H1190" s="41"/>
      <c r="I1190" s="41"/>
      <c r="J1190" s="41"/>
      <c r="K1190" s="41"/>
      <c r="L1190" s="41"/>
      <c r="M1190" s="41"/>
      <c r="N1190" s="41"/>
      <c r="O1190" s="41"/>
      <c r="P1190" s="41"/>
      <c r="Q1190" s="41"/>
      <c r="R1190" s="41"/>
      <c r="S1190" s="41"/>
    </row>
    <row r="1191" spans="1:19" x14ac:dyDescent="0.3">
      <c r="A1191" s="41"/>
      <c r="B1191" s="41"/>
      <c r="C1191" s="41"/>
      <c r="D1191" s="41"/>
      <c r="E1191" s="41"/>
      <c r="F1191" s="41"/>
      <c r="G1191" s="41"/>
      <c r="H1191" s="41"/>
      <c r="I1191" s="41"/>
      <c r="J1191" s="41"/>
      <c r="K1191" s="41"/>
      <c r="L1191" s="41"/>
      <c r="M1191" s="41"/>
      <c r="N1191" s="41"/>
      <c r="O1191" s="41"/>
      <c r="P1191" s="41"/>
      <c r="Q1191" s="41"/>
      <c r="R1191" s="41"/>
      <c r="S1191" s="41"/>
    </row>
    <row r="1192" spans="1:19" x14ac:dyDescent="0.3">
      <c r="A1192" s="41"/>
      <c r="B1192" s="41"/>
      <c r="C1192" s="41"/>
      <c r="D1192" s="41"/>
      <c r="E1192" s="41"/>
      <c r="F1192" s="41"/>
      <c r="G1192" s="41"/>
      <c r="H1192" s="41"/>
      <c r="I1192" s="41"/>
      <c r="J1192" s="41"/>
      <c r="K1192" s="41"/>
      <c r="L1192" s="41"/>
      <c r="M1192" s="41"/>
      <c r="N1192" s="41"/>
      <c r="O1192" s="41"/>
      <c r="P1192" s="41"/>
      <c r="Q1192" s="41"/>
      <c r="R1192" s="41"/>
      <c r="S1192" s="41"/>
    </row>
    <row r="1193" spans="1:19" x14ac:dyDescent="0.3">
      <c r="A1193" s="41"/>
      <c r="B1193" s="41"/>
      <c r="C1193" s="41"/>
      <c r="D1193" s="41"/>
      <c r="E1193" s="41"/>
      <c r="F1193" s="41"/>
      <c r="G1193" s="41"/>
      <c r="H1193" s="41"/>
      <c r="I1193" s="41"/>
      <c r="J1193" s="41"/>
      <c r="K1193" s="41"/>
      <c r="L1193" s="41"/>
      <c r="M1193" s="41"/>
      <c r="N1193" s="41"/>
      <c r="O1193" s="41"/>
      <c r="P1193" s="41"/>
      <c r="Q1193" s="41"/>
      <c r="R1193" s="41"/>
      <c r="S1193" s="41"/>
    </row>
    <row r="1194" spans="1:19" x14ac:dyDescent="0.3">
      <c r="A1194" s="41"/>
      <c r="B1194" s="41"/>
      <c r="C1194" s="41"/>
      <c r="D1194" s="41"/>
      <c r="E1194" s="41"/>
      <c r="F1194" s="41"/>
      <c r="G1194" s="41"/>
      <c r="H1194" s="41"/>
      <c r="I1194" s="41"/>
      <c r="J1194" s="41"/>
      <c r="K1194" s="41"/>
      <c r="L1194" s="41"/>
      <c r="M1194" s="41"/>
      <c r="N1194" s="41"/>
      <c r="O1194" s="41"/>
      <c r="P1194" s="41"/>
      <c r="Q1194" s="41"/>
      <c r="R1194" s="41"/>
      <c r="S1194" s="41"/>
    </row>
    <row r="1195" spans="1:19" x14ac:dyDescent="0.3">
      <c r="A1195" s="41"/>
      <c r="B1195" s="41"/>
      <c r="C1195" s="41"/>
      <c r="D1195" s="41"/>
      <c r="E1195" s="41"/>
      <c r="F1195" s="41"/>
      <c r="G1195" s="41"/>
      <c r="H1195" s="41"/>
      <c r="I1195" s="41"/>
      <c r="J1195" s="41"/>
      <c r="K1195" s="41"/>
      <c r="L1195" s="41"/>
      <c r="M1195" s="41"/>
      <c r="N1195" s="41"/>
      <c r="O1195" s="41"/>
      <c r="P1195" s="41"/>
      <c r="Q1195" s="41"/>
      <c r="R1195" s="41"/>
      <c r="S1195" s="41"/>
    </row>
    <row r="1196" spans="1:19" x14ac:dyDescent="0.3">
      <c r="A1196" s="41"/>
      <c r="B1196" s="41"/>
      <c r="C1196" s="41"/>
      <c r="D1196" s="41"/>
      <c r="E1196" s="41"/>
      <c r="F1196" s="41"/>
      <c r="G1196" s="41"/>
      <c r="H1196" s="41"/>
      <c r="I1196" s="41"/>
      <c r="J1196" s="41"/>
      <c r="K1196" s="41"/>
      <c r="L1196" s="41"/>
      <c r="M1196" s="41"/>
      <c r="N1196" s="41"/>
      <c r="O1196" s="41"/>
      <c r="P1196" s="41"/>
      <c r="Q1196" s="41"/>
      <c r="R1196" s="41"/>
      <c r="S1196" s="41"/>
    </row>
    <row r="1197" spans="1:19" x14ac:dyDescent="0.3">
      <c r="A1197" s="41"/>
      <c r="B1197" s="41"/>
      <c r="C1197" s="41"/>
      <c r="D1197" s="41"/>
      <c r="E1197" s="41"/>
      <c r="F1197" s="41"/>
      <c r="G1197" s="41"/>
      <c r="H1197" s="41"/>
      <c r="I1197" s="41"/>
      <c r="J1197" s="41"/>
      <c r="K1197" s="41"/>
      <c r="L1197" s="41"/>
      <c r="M1197" s="41"/>
      <c r="N1197" s="41"/>
      <c r="O1197" s="41"/>
      <c r="P1197" s="41"/>
      <c r="Q1197" s="41"/>
      <c r="R1197" s="41"/>
      <c r="S1197" s="41"/>
    </row>
    <row r="1198" spans="1:19" x14ac:dyDescent="0.3">
      <c r="A1198" s="41"/>
      <c r="B1198" s="41"/>
      <c r="C1198" s="41"/>
      <c r="D1198" s="41"/>
      <c r="E1198" s="41"/>
      <c r="F1198" s="41"/>
      <c r="G1198" s="41"/>
      <c r="H1198" s="41"/>
      <c r="I1198" s="41"/>
      <c r="J1198" s="41"/>
      <c r="K1198" s="41"/>
      <c r="L1198" s="41"/>
      <c r="M1198" s="41"/>
      <c r="N1198" s="41"/>
      <c r="O1198" s="41"/>
      <c r="P1198" s="41"/>
      <c r="Q1198" s="41"/>
      <c r="R1198" s="41"/>
      <c r="S1198" s="41"/>
    </row>
    <row r="1199" spans="1:19" x14ac:dyDescent="0.3">
      <c r="A1199" s="41"/>
      <c r="B1199" s="41"/>
      <c r="C1199" s="41"/>
      <c r="D1199" s="41"/>
      <c r="E1199" s="41"/>
      <c r="F1199" s="41"/>
      <c r="G1199" s="41"/>
      <c r="H1199" s="41"/>
      <c r="I1199" s="41"/>
      <c r="J1199" s="41"/>
      <c r="K1199" s="41"/>
      <c r="L1199" s="41"/>
      <c r="M1199" s="41"/>
      <c r="N1199" s="41"/>
      <c r="O1199" s="41"/>
      <c r="P1199" s="41"/>
      <c r="Q1199" s="41"/>
      <c r="R1199" s="41"/>
      <c r="S1199" s="41"/>
    </row>
    <row r="1200" spans="1:19" x14ac:dyDescent="0.3">
      <c r="A1200" s="41"/>
      <c r="B1200" s="41"/>
      <c r="C1200" s="41"/>
      <c r="D1200" s="41"/>
      <c r="E1200" s="41"/>
      <c r="F1200" s="41"/>
      <c r="G1200" s="41"/>
      <c r="H1200" s="41"/>
      <c r="I1200" s="41"/>
      <c r="J1200" s="41"/>
      <c r="K1200" s="41"/>
      <c r="L1200" s="41"/>
      <c r="M1200" s="41"/>
      <c r="N1200" s="41"/>
      <c r="O1200" s="41"/>
      <c r="P1200" s="41"/>
      <c r="Q1200" s="41"/>
      <c r="R1200" s="41"/>
      <c r="S1200" s="41"/>
    </row>
    <row r="1201" spans="1:19" x14ac:dyDescent="0.3">
      <c r="A1201" s="41"/>
      <c r="B1201" s="41"/>
      <c r="C1201" s="41"/>
      <c r="D1201" s="41"/>
      <c r="E1201" s="41"/>
      <c r="F1201" s="41"/>
      <c r="G1201" s="41"/>
      <c r="H1201" s="41"/>
      <c r="I1201" s="41"/>
      <c r="J1201" s="41"/>
      <c r="K1201" s="41"/>
      <c r="L1201" s="41"/>
      <c r="M1201" s="41"/>
      <c r="N1201" s="41"/>
      <c r="O1201" s="41"/>
      <c r="P1201" s="41"/>
      <c r="Q1201" s="41"/>
      <c r="R1201" s="41"/>
      <c r="S1201" s="41"/>
    </row>
    <row r="1202" spans="1:19" x14ac:dyDescent="0.3">
      <c r="A1202" s="41"/>
      <c r="B1202" s="41"/>
      <c r="C1202" s="41"/>
      <c r="D1202" s="41"/>
      <c r="E1202" s="41"/>
      <c r="F1202" s="41"/>
      <c r="G1202" s="41"/>
      <c r="H1202" s="41"/>
      <c r="I1202" s="41"/>
      <c r="J1202" s="41"/>
      <c r="K1202" s="41"/>
      <c r="L1202" s="41"/>
      <c r="M1202" s="41"/>
      <c r="N1202" s="41"/>
      <c r="O1202" s="41"/>
      <c r="P1202" s="41"/>
      <c r="Q1202" s="41"/>
      <c r="R1202" s="41"/>
      <c r="S1202" s="41"/>
    </row>
    <row r="1203" spans="1:19" x14ac:dyDescent="0.3">
      <c r="A1203" s="41"/>
      <c r="B1203" s="41"/>
      <c r="C1203" s="41"/>
      <c r="D1203" s="41"/>
      <c r="E1203" s="41"/>
      <c r="F1203" s="41"/>
      <c r="G1203" s="41"/>
      <c r="H1203" s="41"/>
      <c r="I1203" s="41"/>
      <c r="J1203" s="41"/>
      <c r="K1203" s="41"/>
      <c r="L1203" s="41"/>
      <c r="M1203" s="41"/>
      <c r="N1203" s="41"/>
      <c r="O1203" s="41"/>
      <c r="P1203" s="41"/>
      <c r="Q1203" s="41"/>
      <c r="R1203" s="41"/>
      <c r="S1203" s="41"/>
    </row>
    <row r="1204" spans="1:19" x14ac:dyDescent="0.3">
      <c r="A1204" s="41"/>
      <c r="B1204" s="41"/>
      <c r="C1204" s="41"/>
      <c r="D1204" s="41"/>
      <c r="E1204" s="41"/>
      <c r="F1204" s="41"/>
      <c r="G1204" s="41"/>
      <c r="H1204" s="41"/>
      <c r="I1204" s="41"/>
      <c r="J1204" s="41"/>
      <c r="K1204" s="41"/>
      <c r="L1204" s="41"/>
      <c r="M1204" s="41"/>
      <c r="N1204" s="41"/>
      <c r="O1204" s="41"/>
      <c r="P1204" s="41"/>
      <c r="Q1204" s="41"/>
      <c r="R1204" s="41"/>
      <c r="S1204" s="41"/>
    </row>
    <row r="1205" spans="1:19" x14ac:dyDescent="0.3">
      <c r="A1205" s="41"/>
      <c r="B1205" s="41"/>
      <c r="C1205" s="41"/>
      <c r="D1205" s="41"/>
      <c r="E1205" s="41"/>
      <c r="F1205" s="41"/>
      <c r="G1205" s="41"/>
      <c r="H1205" s="41"/>
      <c r="I1205" s="41"/>
      <c r="J1205" s="41"/>
      <c r="K1205" s="41"/>
      <c r="L1205" s="41"/>
      <c r="M1205" s="41"/>
      <c r="N1205" s="41"/>
      <c r="O1205" s="41"/>
      <c r="P1205" s="41"/>
      <c r="Q1205" s="41"/>
      <c r="R1205" s="41"/>
      <c r="S1205" s="41"/>
    </row>
    <row r="1206" spans="1:19" x14ac:dyDescent="0.3">
      <c r="A1206" s="41"/>
      <c r="B1206" s="41"/>
      <c r="C1206" s="41"/>
      <c r="D1206" s="41"/>
      <c r="E1206" s="41"/>
      <c r="F1206" s="41"/>
      <c r="G1206" s="41"/>
      <c r="H1206" s="41"/>
      <c r="I1206" s="41"/>
      <c r="J1206" s="41"/>
      <c r="K1206" s="41"/>
      <c r="L1206" s="41"/>
      <c r="M1206" s="41"/>
      <c r="N1206" s="41"/>
      <c r="O1206" s="41"/>
      <c r="P1206" s="41"/>
      <c r="Q1206" s="41"/>
      <c r="R1206" s="41"/>
      <c r="S1206" s="41"/>
    </row>
    <row r="1207" spans="1:19" x14ac:dyDescent="0.3">
      <c r="A1207" s="41"/>
      <c r="B1207" s="41"/>
      <c r="C1207" s="41"/>
      <c r="D1207" s="41"/>
      <c r="E1207" s="41"/>
      <c r="F1207" s="41"/>
      <c r="G1207" s="41"/>
      <c r="H1207" s="41"/>
      <c r="I1207" s="41"/>
      <c r="J1207" s="41"/>
      <c r="K1207" s="41"/>
      <c r="L1207" s="41"/>
      <c r="M1207" s="41"/>
      <c r="N1207" s="41"/>
      <c r="O1207" s="41"/>
      <c r="P1207" s="41"/>
      <c r="Q1207" s="41"/>
      <c r="R1207" s="41"/>
      <c r="S1207" s="41"/>
    </row>
    <row r="1208" spans="1:19" x14ac:dyDescent="0.3">
      <c r="A1208" s="41"/>
      <c r="B1208" s="41"/>
      <c r="C1208" s="41"/>
      <c r="D1208" s="41"/>
      <c r="E1208" s="41"/>
      <c r="F1208" s="41"/>
      <c r="G1208" s="41"/>
      <c r="H1208" s="41"/>
      <c r="I1208" s="41"/>
      <c r="J1208" s="41"/>
      <c r="K1208" s="41"/>
      <c r="L1208" s="41"/>
      <c r="M1208" s="41"/>
      <c r="N1208" s="41"/>
      <c r="O1208" s="41"/>
      <c r="P1208" s="41"/>
      <c r="Q1208" s="41"/>
      <c r="R1208" s="41"/>
      <c r="S1208" s="41"/>
    </row>
    <row r="1209" spans="1:19" x14ac:dyDescent="0.3">
      <c r="A1209" s="41"/>
      <c r="B1209" s="41"/>
      <c r="C1209" s="41"/>
      <c r="D1209" s="41"/>
      <c r="E1209" s="41"/>
      <c r="F1209" s="41"/>
      <c r="G1209" s="41"/>
      <c r="H1209" s="41"/>
      <c r="I1209" s="41"/>
      <c r="J1209" s="41"/>
      <c r="K1209" s="41"/>
      <c r="L1209" s="41"/>
      <c r="M1209" s="41"/>
      <c r="N1209" s="41"/>
      <c r="O1209" s="41"/>
      <c r="P1209" s="41"/>
      <c r="Q1209" s="41"/>
      <c r="R1209" s="41"/>
      <c r="S1209" s="41"/>
    </row>
    <row r="1210" spans="1:19" x14ac:dyDescent="0.3">
      <c r="A1210" s="41"/>
      <c r="B1210" s="41"/>
      <c r="C1210" s="41"/>
      <c r="D1210" s="41"/>
      <c r="E1210" s="41"/>
      <c r="F1210" s="41"/>
      <c r="G1210" s="41"/>
      <c r="H1210" s="41"/>
      <c r="I1210" s="41"/>
      <c r="J1210" s="41"/>
      <c r="K1210" s="41"/>
      <c r="L1210" s="41"/>
      <c r="M1210" s="41"/>
      <c r="N1210" s="41"/>
      <c r="O1210" s="41"/>
      <c r="P1210" s="41"/>
      <c r="Q1210" s="41"/>
      <c r="R1210" s="41"/>
      <c r="S1210" s="41"/>
    </row>
    <row r="1211" spans="1:19" x14ac:dyDescent="0.3">
      <c r="A1211" s="41"/>
      <c r="B1211" s="41"/>
      <c r="C1211" s="41"/>
      <c r="D1211" s="41"/>
      <c r="E1211" s="41"/>
      <c r="F1211" s="41"/>
      <c r="G1211" s="41"/>
      <c r="H1211" s="41"/>
      <c r="I1211" s="41"/>
      <c r="J1211" s="41"/>
      <c r="K1211" s="41"/>
      <c r="L1211" s="41"/>
      <c r="M1211" s="41"/>
      <c r="N1211" s="41"/>
      <c r="O1211" s="41"/>
      <c r="P1211" s="41"/>
      <c r="Q1211" s="41"/>
      <c r="R1211" s="41"/>
      <c r="S1211" s="41"/>
    </row>
    <row r="1212" spans="1:19" x14ac:dyDescent="0.3">
      <c r="A1212" s="41"/>
      <c r="B1212" s="41"/>
      <c r="C1212" s="41"/>
      <c r="D1212" s="41"/>
      <c r="E1212" s="41"/>
      <c r="F1212" s="41"/>
      <c r="G1212" s="41"/>
      <c r="H1212" s="41"/>
      <c r="I1212" s="41"/>
      <c r="J1212" s="41"/>
      <c r="K1212" s="41"/>
      <c r="L1212" s="41"/>
      <c r="M1212" s="41"/>
      <c r="N1212" s="41"/>
      <c r="O1212" s="41"/>
      <c r="P1212" s="41"/>
      <c r="Q1212" s="41"/>
      <c r="R1212" s="41"/>
      <c r="S1212" s="41"/>
    </row>
    <row r="1213" spans="1:19" x14ac:dyDescent="0.3">
      <c r="A1213" s="41"/>
      <c r="B1213" s="41"/>
      <c r="C1213" s="41"/>
      <c r="D1213" s="41"/>
      <c r="E1213" s="41"/>
      <c r="F1213" s="41"/>
      <c r="G1213" s="41"/>
      <c r="H1213" s="41"/>
      <c r="I1213" s="41"/>
      <c r="J1213" s="41"/>
      <c r="K1213" s="41"/>
      <c r="L1213" s="41"/>
      <c r="M1213" s="41"/>
      <c r="N1213" s="41"/>
      <c r="O1213" s="41"/>
      <c r="P1213" s="41"/>
      <c r="Q1213" s="41"/>
      <c r="R1213" s="41"/>
      <c r="S1213" s="41"/>
    </row>
    <row r="1214" spans="1:19" x14ac:dyDescent="0.3">
      <c r="A1214" s="41"/>
      <c r="B1214" s="41"/>
      <c r="C1214" s="41"/>
      <c r="D1214" s="41"/>
      <c r="E1214" s="41"/>
      <c r="F1214" s="41"/>
      <c r="G1214" s="41"/>
      <c r="H1214" s="41"/>
      <c r="I1214" s="41"/>
      <c r="J1214" s="41"/>
      <c r="K1214" s="41"/>
      <c r="L1214" s="41"/>
      <c r="M1214" s="41"/>
      <c r="N1214" s="41"/>
      <c r="O1214" s="41"/>
      <c r="P1214" s="41"/>
      <c r="Q1214" s="41"/>
      <c r="R1214" s="41"/>
      <c r="S1214" s="41"/>
    </row>
    <row r="1215" spans="1:19" x14ac:dyDescent="0.3">
      <c r="A1215" s="41"/>
      <c r="B1215" s="41"/>
      <c r="C1215" s="41"/>
      <c r="D1215" s="41"/>
      <c r="E1215" s="41"/>
      <c r="F1215" s="41"/>
      <c r="G1215" s="41"/>
      <c r="H1215" s="41"/>
      <c r="I1215" s="41"/>
      <c r="J1215" s="41"/>
      <c r="K1215" s="41"/>
      <c r="L1215" s="41"/>
      <c r="M1215" s="41"/>
      <c r="N1215" s="41"/>
      <c r="O1215" s="41"/>
      <c r="P1215" s="41"/>
      <c r="Q1215" s="41"/>
      <c r="R1215" s="41"/>
      <c r="S1215" s="41"/>
    </row>
    <row r="1216" spans="1:19" x14ac:dyDescent="0.3">
      <c r="A1216" s="41"/>
      <c r="B1216" s="41"/>
      <c r="C1216" s="41"/>
      <c r="D1216" s="41"/>
      <c r="E1216" s="41"/>
      <c r="F1216" s="41"/>
      <c r="G1216" s="41"/>
      <c r="H1216" s="41"/>
      <c r="I1216" s="41"/>
      <c r="J1216" s="41"/>
      <c r="K1216" s="41"/>
      <c r="L1216" s="41"/>
      <c r="M1216" s="41"/>
      <c r="N1216" s="41"/>
      <c r="O1216" s="41"/>
      <c r="P1216" s="41"/>
      <c r="Q1216" s="41"/>
      <c r="R1216" s="41"/>
      <c r="S1216" s="41"/>
    </row>
    <row r="1217" spans="1:19" x14ac:dyDescent="0.3">
      <c r="A1217" s="41"/>
      <c r="B1217" s="41"/>
      <c r="C1217" s="41"/>
      <c r="D1217" s="41"/>
      <c r="E1217" s="41"/>
      <c r="F1217" s="41"/>
      <c r="G1217" s="41"/>
      <c r="H1217" s="41"/>
      <c r="I1217" s="41"/>
      <c r="J1217" s="41"/>
      <c r="K1217" s="41"/>
      <c r="L1217" s="41"/>
      <c r="M1217" s="41"/>
      <c r="N1217" s="41"/>
      <c r="O1217" s="41"/>
      <c r="P1217" s="41"/>
      <c r="Q1217" s="41"/>
      <c r="R1217" s="41"/>
      <c r="S1217" s="41"/>
    </row>
    <row r="1218" spans="1:19" x14ac:dyDescent="0.3">
      <c r="A1218" s="41"/>
      <c r="B1218" s="41"/>
      <c r="C1218" s="41"/>
      <c r="D1218" s="41"/>
      <c r="E1218" s="41"/>
      <c r="F1218" s="41"/>
      <c r="G1218" s="41"/>
      <c r="H1218" s="41"/>
      <c r="I1218" s="41"/>
      <c r="J1218" s="41"/>
      <c r="K1218" s="41"/>
      <c r="L1218" s="41"/>
      <c r="M1218" s="41"/>
      <c r="N1218" s="41"/>
      <c r="O1218" s="41"/>
      <c r="P1218" s="41"/>
      <c r="Q1218" s="41"/>
      <c r="R1218" s="41"/>
      <c r="S1218" s="41"/>
    </row>
    <row r="1219" spans="1:19" x14ac:dyDescent="0.3">
      <c r="A1219" s="41"/>
      <c r="B1219" s="41"/>
      <c r="C1219" s="41"/>
      <c r="D1219" s="41"/>
      <c r="E1219" s="41"/>
      <c r="F1219" s="41"/>
      <c r="G1219" s="41"/>
      <c r="H1219" s="41"/>
      <c r="I1219" s="41"/>
      <c r="J1219" s="41"/>
      <c r="K1219" s="41"/>
      <c r="L1219" s="41"/>
      <c r="M1219" s="41"/>
      <c r="N1219" s="41"/>
      <c r="O1219" s="41"/>
      <c r="P1219" s="41"/>
      <c r="Q1219" s="41"/>
      <c r="R1219" s="41"/>
      <c r="S1219" s="41"/>
    </row>
    <row r="1220" spans="1:19" x14ac:dyDescent="0.3">
      <c r="A1220" s="41"/>
      <c r="B1220" s="41"/>
      <c r="C1220" s="41"/>
      <c r="D1220" s="41"/>
      <c r="E1220" s="41"/>
      <c r="F1220" s="41"/>
      <c r="G1220" s="41"/>
      <c r="H1220" s="41"/>
      <c r="I1220" s="41"/>
      <c r="J1220" s="41"/>
      <c r="K1220" s="41"/>
      <c r="L1220" s="41"/>
      <c r="M1220" s="41"/>
      <c r="N1220" s="41"/>
      <c r="O1220" s="41"/>
      <c r="P1220" s="41"/>
      <c r="Q1220" s="41"/>
      <c r="R1220" s="41"/>
      <c r="S1220" s="41"/>
    </row>
    <row r="1221" spans="1:19" x14ac:dyDescent="0.3">
      <c r="A1221" s="41"/>
      <c r="B1221" s="41"/>
      <c r="C1221" s="41"/>
      <c r="D1221" s="41"/>
      <c r="E1221" s="41"/>
      <c r="F1221" s="41"/>
      <c r="G1221" s="41"/>
      <c r="H1221" s="41"/>
      <c r="I1221" s="41"/>
      <c r="J1221" s="41"/>
      <c r="K1221" s="41"/>
      <c r="L1221" s="41"/>
      <c r="M1221" s="41"/>
      <c r="N1221" s="41"/>
      <c r="O1221" s="41"/>
      <c r="P1221" s="41"/>
      <c r="Q1221" s="41"/>
      <c r="R1221" s="41"/>
      <c r="S1221" s="41"/>
    </row>
    <row r="1222" spans="1:19" x14ac:dyDescent="0.3">
      <c r="A1222" s="41"/>
      <c r="B1222" s="41"/>
      <c r="C1222" s="41"/>
      <c r="D1222" s="41"/>
      <c r="E1222" s="41"/>
      <c r="F1222" s="41"/>
      <c r="G1222" s="41"/>
      <c r="H1222" s="41"/>
      <c r="I1222" s="41"/>
      <c r="J1222" s="41"/>
      <c r="K1222" s="41"/>
      <c r="L1222" s="41"/>
      <c r="M1222" s="41"/>
      <c r="N1222" s="41"/>
      <c r="O1222" s="41"/>
      <c r="P1222" s="41"/>
      <c r="Q1222" s="41"/>
      <c r="R1222" s="41"/>
      <c r="S1222" s="41"/>
    </row>
    <row r="1223" spans="1:19" x14ac:dyDescent="0.3">
      <c r="A1223" s="41"/>
      <c r="B1223" s="41"/>
      <c r="C1223" s="41"/>
      <c r="D1223" s="41"/>
      <c r="E1223" s="41"/>
      <c r="F1223" s="41"/>
      <c r="G1223" s="41"/>
      <c r="H1223" s="41"/>
      <c r="I1223" s="41"/>
      <c r="J1223" s="41"/>
      <c r="K1223" s="41"/>
      <c r="L1223" s="41"/>
      <c r="M1223" s="41"/>
      <c r="N1223" s="41"/>
      <c r="O1223" s="41"/>
      <c r="P1223" s="41"/>
      <c r="Q1223" s="41"/>
      <c r="R1223" s="41"/>
      <c r="S1223" s="41"/>
    </row>
    <row r="1224" spans="1:19" x14ac:dyDescent="0.3">
      <c r="A1224" s="41"/>
      <c r="B1224" s="41"/>
      <c r="C1224" s="41"/>
      <c r="D1224" s="41"/>
      <c r="E1224" s="41"/>
      <c r="F1224" s="41"/>
      <c r="G1224" s="41"/>
      <c r="H1224" s="41"/>
      <c r="I1224" s="41"/>
      <c r="J1224" s="41"/>
      <c r="K1224" s="41"/>
      <c r="L1224" s="41"/>
      <c r="M1224" s="41"/>
      <c r="N1224" s="41"/>
      <c r="O1224" s="41"/>
      <c r="P1224" s="41"/>
      <c r="Q1224" s="41"/>
      <c r="R1224" s="41"/>
      <c r="S1224" s="41"/>
    </row>
    <row r="1225" spans="1:19" x14ac:dyDescent="0.3">
      <c r="A1225" s="41"/>
      <c r="B1225" s="41"/>
      <c r="C1225" s="41"/>
      <c r="D1225" s="41"/>
      <c r="E1225" s="41"/>
      <c r="F1225" s="41"/>
      <c r="G1225" s="41"/>
      <c r="H1225" s="41"/>
      <c r="I1225" s="41"/>
      <c r="J1225" s="41"/>
      <c r="K1225" s="41"/>
      <c r="L1225" s="41"/>
      <c r="M1225" s="41"/>
      <c r="N1225" s="41"/>
      <c r="O1225" s="41"/>
      <c r="P1225" s="41"/>
      <c r="Q1225" s="41"/>
      <c r="R1225" s="41"/>
      <c r="S1225" s="41"/>
    </row>
    <row r="1226" spans="1:19" x14ac:dyDescent="0.3">
      <c r="A1226" s="41"/>
      <c r="B1226" s="41"/>
      <c r="C1226" s="41"/>
      <c r="D1226" s="41"/>
      <c r="E1226" s="41"/>
      <c r="F1226" s="41"/>
      <c r="G1226" s="41"/>
      <c r="H1226" s="41"/>
      <c r="I1226" s="41"/>
      <c r="J1226" s="41"/>
      <c r="K1226" s="41"/>
      <c r="L1226" s="41"/>
      <c r="M1226" s="41"/>
      <c r="N1226" s="41"/>
      <c r="O1226" s="41"/>
      <c r="P1226" s="41"/>
      <c r="Q1226" s="41"/>
      <c r="R1226" s="41"/>
      <c r="S1226" s="41"/>
    </row>
    <row r="1227" spans="1:19" x14ac:dyDescent="0.3">
      <c r="A1227" s="41"/>
      <c r="B1227" s="41"/>
      <c r="C1227" s="41"/>
      <c r="D1227" s="41"/>
      <c r="E1227" s="41"/>
      <c r="F1227" s="41"/>
      <c r="G1227" s="41"/>
      <c r="H1227" s="41"/>
      <c r="I1227" s="41"/>
      <c r="J1227" s="41"/>
      <c r="K1227" s="41"/>
      <c r="L1227" s="41"/>
      <c r="M1227" s="41"/>
      <c r="N1227" s="41"/>
      <c r="O1227" s="41"/>
      <c r="P1227" s="41"/>
      <c r="Q1227" s="41"/>
      <c r="R1227" s="41"/>
      <c r="S1227" s="41"/>
    </row>
    <row r="1228" spans="1:19" x14ac:dyDescent="0.3">
      <c r="A1228" s="41"/>
      <c r="B1228" s="41"/>
      <c r="C1228" s="41"/>
      <c r="D1228" s="41"/>
      <c r="E1228" s="41"/>
      <c r="F1228" s="41"/>
      <c r="G1228" s="41"/>
      <c r="H1228" s="41"/>
      <c r="I1228" s="41"/>
      <c r="J1228" s="41"/>
      <c r="K1228" s="41"/>
      <c r="L1228" s="41"/>
      <c r="M1228" s="41"/>
      <c r="N1228" s="41"/>
      <c r="O1228" s="41"/>
      <c r="P1228" s="41"/>
      <c r="Q1228" s="41"/>
      <c r="R1228" s="41"/>
      <c r="S1228" s="41"/>
    </row>
    <row r="1229" spans="1:19" x14ac:dyDescent="0.3">
      <c r="A1229" s="41"/>
      <c r="B1229" s="41"/>
      <c r="C1229" s="41"/>
      <c r="D1229" s="41"/>
      <c r="E1229" s="41"/>
      <c r="F1229" s="41"/>
      <c r="G1229" s="41"/>
      <c r="H1229" s="41"/>
      <c r="I1229" s="41"/>
      <c r="J1229" s="41"/>
      <c r="K1229" s="41"/>
      <c r="L1229" s="41"/>
      <c r="M1229" s="41"/>
      <c r="N1229" s="41"/>
      <c r="O1229" s="41"/>
      <c r="P1229" s="41"/>
      <c r="Q1229" s="41"/>
      <c r="R1229" s="41"/>
      <c r="S1229" s="41"/>
    </row>
    <row r="1230" spans="1:19" x14ac:dyDescent="0.3">
      <c r="A1230" s="41"/>
      <c r="B1230" s="41"/>
      <c r="C1230" s="41"/>
      <c r="D1230" s="41"/>
      <c r="E1230" s="41"/>
      <c r="F1230" s="41"/>
      <c r="G1230" s="41"/>
      <c r="H1230" s="41"/>
      <c r="I1230" s="41"/>
      <c r="J1230" s="41"/>
      <c r="K1230" s="41"/>
      <c r="L1230" s="41"/>
      <c r="M1230" s="41"/>
      <c r="N1230" s="41"/>
      <c r="O1230" s="41"/>
      <c r="P1230" s="41"/>
      <c r="Q1230" s="41"/>
      <c r="R1230" s="41"/>
      <c r="S1230" s="41"/>
    </row>
    <row r="1231" spans="1:19" x14ac:dyDescent="0.3">
      <c r="A1231" s="41"/>
      <c r="B1231" s="41"/>
      <c r="C1231" s="41"/>
      <c r="D1231" s="41"/>
      <c r="E1231" s="41"/>
      <c r="F1231" s="41"/>
      <c r="G1231" s="41"/>
      <c r="H1231" s="41"/>
      <c r="I1231" s="41"/>
      <c r="J1231" s="41"/>
      <c r="K1231" s="41"/>
      <c r="L1231" s="41"/>
      <c r="M1231" s="41"/>
      <c r="N1231" s="41"/>
      <c r="O1231" s="41"/>
      <c r="P1231" s="41"/>
      <c r="Q1231" s="41"/>
      <c r="R1231" s="41"/>
      <c r="S1231" s="41"/>
    </row>
    <row r="1232" spans="1:19" x14ac:dyDescent="0.3">
      <c r="A1232" s="41"/>
      <c r="B1232" s="41"/>
      <c r="C1232" s="41"/>
      <c r="D1232" s="41"/>
      <c r="E1232" s="41"/>
      <c r="F1232" s="41"/>
      <c r="G1232" s="41"/>
      <c r="H1232" s="41"/>
      <c r="I1232" s="41"/>
      <c r="J1232" s="41"/>
      <c r="K1232" s="41"/>
      <c r="L1232" s="41"/>
      <c r="M1232" s="41"/>
      <c r="N1232" s="41"/>
      <c r="O1232" s="41"/>
      <c r="P1232" s="41"/>
      <c r="Q1232" s="41"/>
      <c r="R1232" s="41"/>
      <c r="S1232" s="41"/>
    </row>
    <row r="1233" spans="1:19" x14ac:dyDescent="0.3">
      <c r="A1233" s="41"/>
      <c r="B1233" s="41"/>
      <c r="C1233" s="41"/>
      <c r="D1233" s="41"/>
      <c r="E1233" s="41"/>
      <c r="F1233" s="41"/>
      <c r="G1233" s="41"/>
      <c r="H1233" s="41"/>
      <c r="I1233" s="41"/>
      <c r="J1233" s="41"/>
      <c r="K1233" s="41"/>
      <c r="L1233" s="41"/>
      <c r="M1233" s="41"/>
      <c r="N1233" s="41"/>
      <c r="O1233" s="41"/>
      <c r="P1233" s="41"/>
      <c r="Q1233" s="41"/>
      <c r="R1233" s="41"/>
      <c r="S1233" s="41"/>
    </row>
    <row r="1234" spans="1:19" x14ac:dyDescent="0.3">
      <c r="A1234" s="41"/>
      <c r="B1234" s="41"/>
      <c r="C1234" s="41"/>
      <c r="D1234" s="41"/>
      <c r="E1234" s="41"/>
      <c r="F1234" s="41"/>
      <c r="G1234" s="41"/>
      <c r="H1234" s="41"/>
      <c r="I1234" s="41"/>
      <c r="J1234" s="41"/>
      <c r="K1234" s="41"/>
      <c r="L1234" s="41"/>
      <c r="M1234" s="41"/>
      <c r="N1234" s="41"/>
      <c r="O1234" s="41"/>
      <c r="P1234" s="41"/>
      <c r="Q1234" s="41"/>
      <c r="R1234" s="41"/>
      <c r="S1234" s="41"/>
    </row>
    <row r="1235" spans="1:19" x14ac:dyDescent="0.3">
      <c r="A1235" s="41"/>
      <c r="B1235" s="41"/>
      <c r="C1235" s="41"/>
      <c r="D1235" s="41"/>
      <c r="E1235" s="41"/>
      <c r="F1235" s="41"/>
      <c r="G1235" s="41"/>
      <c r="H1235" s="41"/>
      <c r="I1235" s="41"/>
      <c r="J1235" s="41"/>
      <c r="K1235" s="41"/>
      <c r="L1235" s="41"/>
      <c r="M1235" s="41"/>
      <c r="N1235" s="41"/>
      <c r="O1235" s="41"/>
      <c r="P1235" s="41"/>
      <c r="Q1235" s="41"/>
      <c r="R1235" s="41"/>
      <c r="S1235" s="41"/>
    </row>
    <row r="1236" spans="1:19" x14ac:dyDescent="0.3">
      <c r="A1236" s="41"/>
      <c r="B1236" s="41"/>
      <c r="C1236" s="41"/>
      <c r="D1236" s="41"/>
      <c r="E1236" s="41"/>
      <c r="F1236" s="41"/>
      <c r="G1236" s="41"/>
      <c r="H1236" s="41"/>
      <c r="I1236" s="41"/>
      <c r="J1236" s="41"/>
      <c r="K1236" s="41"/>
      <c r="L1236" s="41"/>
      <c r="M1236" s="41"/>
      <c r="N1236" s="41"/>
      <c r="O1236" s="41"/>
      <c r="P1236" s="41"/>
      <c r="Q1236" s="41"/>
      <c r="R1236" s="41"/>
      <c r="S1236" s="41"/>
    </row>
    <row r="1237" spans="1:19" x14ac:dyDescent="0.3">
      <c r="A1237" s="41"/>
      <c r="B1237" s="41"/>
      <c r="C1237" s="41"/>
      <c r="D1237" s="41"/>
      <c r="E1237" s="41"/>
      <c r="F1237" s="41"/>
      <c r="G1237" s="41"/>
      <c r="H1237" s="41"/>
      <c r="I1237" s="41"/>
      <c r="J1237" s="41"/>
      <c r="K1237" s="41"/>
      <c r="L1237" s="41"/>
      <c r="M1237" s="41"/>
      <c r="N1237" s="41"/>
      <c r="O1237" s="41"/>
      <c r="P1237" s="41"/>
      <c r="Q1237" s="41"/>
      <c r="R1237" s="41"/>
      <c r="S1237" s="41"/>
    </row>
    <row r="1238" spans="1:19" x14ac:dyDescent="0.3">
      <c r="A1238" s="41"/>
      <c r="B1238" s="41"/>
      <c r="C1238" s="41"/>
      <c r="D1238" s="41"/>
      <c r="E1238" s="41"/>
      <c r="F1238" s="41"/>
      <c r="G1238" s="41"/>
      <c r="H1238" s="41"/>
      <c r="I1238" s="41"/>
      <c r="J1238" s="41"/>
      <c r="K1238" s="41"/>
      <c r="L1238" s="41"/>
      <c r="M1238" s="41"/>
      <c r="N1238" s="41"/>
      <c r="O1238" s="41"/>
      <c r="P1238" s="41"/>
      <c r="Q1238" s="41"/>
      <c r="R1238" s="41"/>
      <c r="S1238" s="41"/>
    </row>
    <row r="1239" spans="1:19" x14ac:dyDescent="0.3">
      <c r="A1239" s="41"/>
      <c r="B1239" s="41"/>
      <c r="C1239" s="41"/>
      <c r="D1239" s="41"/>
      <c r="E1239" s="41"/>
      <c r="F1239" s="41"/>
      <c r="G1239" s="41"/>
      <c r="H1239" s="41"/>
      <c r="I1239" s="41"/>
      <c r="J1239" s="41"/>
      <c r="K1239" s="41"/>
      <c r="L1239" s="41"/>
      <c r="M1239" s="41"/>
      <c r="N1239" s="41"/>
      <c r="O1239" s="41"/>
      <c r="P1239" s="41"/>
      <c r="Q1239" s="41"/>
      <c r="R1239" s="41"/>
      <c r="S1239" s="41"/>
    </row>
    <row r="1240" spans="1:19" x14ac:dyDescent="0.3">
      <c r="A1240" s="41"/>
      <c r="B1240" s="41"/>
      <c r="C1240" s="41"/>
      <c r="D1240" s="41"/>
      <c r="E1240" s="41"/>
      <c r="F1240" s="41"/>
      <c r="G1240" s="41"/>
      <c r="H1240" s="41"/>
      <c r="I1240" s="41"/>
      <c r="J1240" s="41"/>
      <c r="K1240" s="41"/>
      <c r="L1240" s="41"/>
      <c r="M1240" s="41"/>
      <c r="N1240" s="41"/>
      <c r="O1240" s="41"/>
      <c r="P1240" s="41"/>
      <c r="Q1240" s="41"/>
      <c r="R1240" s="41"/>
      <c r="S1240" s="41"/>
    </row>
    <row r="1241" spans="1:19" x14ac:dyDescent="0.3">
      <c r="A1241" s="41"/>
      <c r="B1241" s="41"/>
      <c r="C1241" s="41"/>
      <c r="D1241" s="41"/>
      <c r="E1241" s="41"/>
      <c r="F1241" s="41"/>
      <c r="G1241" s="41"/>
      <c r="H1241" s="41"/>
      <c r="I1241" s="41"/>
      <c r="J1241" s="41"/>
      <c r="K1241" s="41"/>
      <c r="L1241" s="41"/>
      <c r="M1241" s="41"/>
      <c r="N1241" s="41"/>
      <c r="O1241" s="41"/>
      <c r="P1241" s="41"/>
      <c r="Q1241" s="41"/>
      <c r="R1241" s="41"/>
      <c r="S1241" s="41"/>
    </row>
    <row r="1242" spans="1:19" x14ac:dyDescent="0.3">
      <c r="A1242" s="41"/>
      <c r="B1242" s="41"/>
      <c r="C1242" s="41"/>
      <c r="D1242" s="41"/>
      <c r="E1242" s="41"/>
      <c r="F1242" s="41"/>
      <c r="G1242" s="41"/>
      <c r="H1242" s="41"/>
      <c r="I1242" s="41"/>
      <c r="J1242" s="41"/>
      <c r="K1242" s="41"/>
      <c r="L1242" s="41"/>
      <c r="M1242" s="41"/>
      <c r="N1242" s="41"/>
      <c r="O1242" s="41"/>
      <c r="P1242" s="41"/>
      <c r="Q1242" s="41"/>
      <c r="R1242" s="41"/>
      <c r="S1242" s="41"/>
    </row>
    <row r="1243" spans="1:19" x14ac:dyDescent="0.3">
      <c r="A1243" s="41"/>
      <c r="B1243" s="41"/>
      <c r="C1243" s="41"/>
      <c r="D1243" s="41"/>
      <c r="E1243" s="41"/>
      <c r="F1243" s="41"/>
      <c r="G1243" s="41"/>
      <c r="H1243" s="41"/>
      <c r="I1243" s="41"/>
      <c r="J1243" s="41"/>
      <c r="K1243" s="41"/>
      <c r="L1243" s="41"/>
      <c r="M1243" s="41"/>
      <c r="N1243" s="41"/>
      <c r="O1243" s="41"/>
      <c r="P1243" s="41"/>
      <c r="Q1243" s="41"/>
      <c r="R1243" s="41"/>
      <c r="S1243" s="41"/>
    </row>
    <row r="1244" spans="1:19" x14ac:dyDescent="0.3">
      <c r="A1244" s="41"/>
      <c r="B1244" s="41"/>
      <c r="C1244" s="41"/>
      <c r="D1244" s="41"/>
      <c r="E1244" s="41"/>
      <c r="F1244" s="41"/>
      <c r="G1244" s="41"/>
      <c r="H1244" s="41"/>
      <c r="I1244" s="41"/>
      <c r="J1244" s="41"/>
      <c r="K1244" s="41"/>
      <c r="L1244" s="41"/>
      <c r="M1244" s="41"/>
      <c r="N1244" s="41"/>
      <c r="O1244" s="41"/>
      <c r="P1244" s="41"/>
      <c r="Q1244" s="41"/>
      <c r="R1244" s="41"/>
      <c r="S1244" s="41"/>
    </row>
    <row r="1245" spans="1:19" x14ac:dyDescent="0.3">
      <c r="A1245" s="41"/>
      <c r="B1245" s="41"/>
      <c r="C1245" s="41"/>
      <c r="D1245" s="41"/>
      <c r="E1245" s="41"/>
      <c r="F1245" s="41"/>
      <c r="G1245" s="41"/>
      <c r="H1245" s="41"/>
      <c r="I1245" s="41"/>
      <c r="J1245" s="41"/>
      <c r="K1245" s="41"/>
      <c r="L1245" s="41"/>
      <c r="M1245" s="41"/>
      <c r="N1245" s="41"/>
      <c r="O1245" s="41"/>
      <c r="P1245" s="41"/>
      <c r="Q1245" s="41"/>
      <c r="R1245" s="41"/>
      <c r="S1245" s="41"/>
    </row>
    <row r="1246" spans="1:19" x14ac:dyDescent="0.3">
      <c r="A1246" s="41"/>
      <c r="B1246" s="41"/>
      <c r="C1246" s="41"/>
      <c r="D1246" s="41"/>
      <c r="E1246" s="41"/>
      <c r="F1246" s="41"/>
      <c r="G1246" s="41"/>
      <c r="H1246" s="41"/>
      <c r="I1246" s="41"/>
      <c r="J1246" s="41"/>
      <c r="K1246" s="41"/>
      <c r="L1246" s="41"/>
      <c r="M1246" s="41"/>
      <c r="N1246" s="41"/>
      <c r="O1246" s="41"/>
      <c r="P1246" s="41"/>
      <c r="Q1246" s="41"/>
      <c r="R1246" s="41"/>
      <c r="S1246" s="41"/>
    </row>
    <row r="1247" spans="1:19" x14ac:dyDescent="0.3">
      <c r="A1247" s="41"/>
      <c r="B1247" s="41"/>
      <c r="C1247" s="41"/>
      <c r="D1247" s="41"/>
      <c r="E1247" s="41"/>
      <c r="F1247" s="41"/>
      <c r="G1247" s="41"/>
      <c r="H1247" s="41"/>
      <c r="I1247" s="41"/>
      <c r="J1247" s="41"/>
      <c r="K1247" s="41"/>
      <c r="L1247" s="41"/>
      <c r="M1247" s="41"/>
      <c r="N1247" s="41"/>
      <c r="O1247" s="41"/>
      <c r="P1247" s="41"/>
      <c r="Q1247" s="41"/>
      <c r="R1247" s="41"/>
      <c r="S1247" s="41"/>
    </row>
    <row r="1248" spans="1:19" x14ac:dyDescent="0.3">
      <c r="A1248" s="41"/>
      <c r="B1248" s="41"/>
      <c r="C1248" s="41"/>
      <c r="D1248" s="41"/>
      <c r="E1248" s="41"/>
      <c r="F1248" s="41"/>
      <c r="G1248" s="41"/>
      <c r="H1248" s="41"/>
      <c r="I1248" s="41"/>
      <c r="J1248" s="41"/>
      <c r="K1248" s="41"/>
      <c r="L1248" s="41"/>
      <c r="M1248" s="41"/>
      <c r="N1248" s="41"/>
      <c r="O1248" s="41"/>
      <c r="P1248" s="41"/>
      <c r="Q1248" s="41"/>
      <c r="R1248" s="41"/>
      <c r="S1248" s="41"/>
    </row>
    <row r="1249" spans="1:19" x14ac:dyDescent="0.3">
      <c r="A1249" s="41"/>
      <c r="B1249" s="41"/>
      <c r="C1249" s="41"/>
      <c r="D1249" s="41"/>
      <c r="E1249" s="41"/>
      <c r="F1249" s="41"/>
      <c r="G1249" s="41"/>
      <c r="H1249" s="41"/>
      <c r="I1249" s="41"/>
      <c r="J1249" s="41"/>
      <c r="K1249" s="41"/>
      <c r="L1249" s="41"/>
      <c r="M1249" s="41"/>
      <c r="N1249" s="41"/>
      <c r="O1249" s="41"/>
      <c r="P1249" s="41"/>
      <c r="Q1249" s="41"/>
      <c r="R1249" s="41"/>
      <c r="S1249" s="41"/>
    </row>
    <row r="1250" spans="1:19" x14ac:dyDescent="0.3">
      <c r="A1250" s="41"/>
      <c r="B1250" s="41"/>
      <c r="C1250" s="41"/>
      <c r="D1250" s="41"/>
      <c r="E1250" s="41"/>
      <c r="F1250" s="41"/>
      <c r="G1250" s="41"/>
      <c r="H1250" s="41"/>
      <c r="I1250" s="41"/>
      <c r="J1250" s="41"/>
      <c r="K1250" s="41"/>
      <c r="L1250" s="41"/>
      <c r="M1250" s="41"/>
      <c r="N1250" s="41"/>
      <c r="O1250" s="41"/>
      <c r="P1250" s="41"/>
      <c r="Q1250" s="41"/>
      <c r="R1250" s="41"/>
      <c r="S1250" s="41"/>
    </row>
    <row r="1251" spans="1:19" x14ac:dyDescent="0.3">
      <c r="A1251" s="41"/>
      <c r="B1251" s="41"/>
      <c r="C1251" s="41"/>
      <c r="D1251" s="41"/>
      <c r="E1251" s="41"/>
      <c r="F1251" s="41"/>
      <c r="G1251" s="41"/>
      <c r="H1251" s="41"/>
      <c r="I1251" s="41"/>
      <c r="J1251" s="41"/>
      <c r="K1251" s="41"/>
      <c r="L1251" s="41"/>
      <c r="M1251" s="41"/>
      <c r="N1251" s="41"/>
      <c r="O1251" s="41"/>
      <c r="P1251" s="41"/>
      <c r="Q1251" s="41"/>
      <c r="R1251" s="41"/>
      <c r="S1251" s="41"/>
    </row>
    <row r="1252" spans="1:19" x14ac:dyDescent="0.3">
      <c r="A1252" s="41"/>
      <c r="B1252" s="41"/>
      <c r="C1252" s="41"/>
      <c r="D1252" s="41"/>
      <c r="E1252" s="41"/>
      <c r="F1252" s="41"/>
      <c r="G1252" s="41"/>
      <c r="H1252" s="41"/>
      <c r="I1252" s="41"/>
      <c r="J1252" s="41"/>
      <c r="K1252" s="41"/>
      <c r="L1252" s="41"/>
      <c r="M1252" s="41"/>
      <c r="N1252" s="41"/>
      <c r="O1252" s="41"/>
      <c r="P1252" s="41"/>
      <c r="Q1252" s="41"/>
      <c r="R1252" s="41"/>
      <c r="S1252" s="41"/>
    </row>
    <row r="1253" spans="1:19" x14ac:dyDescent="0.3">
      <c r="A1253" s="41"/>
      <c r="B1253" s="41"/>
      <c r="C1253" s="41"/>
      <c r="D1253" s="41"/>
      <c r="E1253" s="41"/>
      <c r="F1253" s="41"/>
      <c r="G1253" s="41"/>
      <c r="H1253" s="41"/>
      <c r="I1253" s="41"/>
      <c r="J1253" s="41"/>
      <c r="K1253" s="41"/>
      <c r="L1253" s="41"/>
      <c r="M1253" s="41"/>
      <c r="N1253" s="41"/>
      <c r="O1253" s="41"/>
      <c r="P1253" s="41"/>
      <c r="Q1253" s="41"/>
      <c r="R1253" s="41"/>
      <c r="S1253" s="41"/>
    </row>
    <row r="1254" spans="1:19" x14ac:dyDescent="0.3">
      <c r="A1254" s="41"/>
      <c r="B1254" s="41"/>
      <c r="C1254" s="41"/>
      <c r="D1254" s="41"/>
      <c r="E1254" s="41"/>
      <c r="F1254" s="41"/>
      <c r="G1254" s="41"/>
      <c r="H1254" s="41"/>
      <c r="I1254" s="41"/>
      <c r="J1254" s="41"/>
      <c r="K1254" s="41"/>
      <c r="L1254" s="41"/>
      <c r="M1254" s="41"/>
      <c r="N1254" s="41"/>
      <c r="O1254" s="41"/>
      <c r="P1254" s="41"/>
      <c r="Q1254" s="41"/>
      <c r="R1254" s="41"/>
      <c r="S1254" s="41"/>
    </row>
    <row r="1255" spans="1:19" x14ac:dyDescent="0.3">
      <c r="A1255" s="41"/>
      <c r="B1255" s="41"/>
      <c r="C1255" s="41"/>
      <c r="D1255" s="41"/>
      <c r="E1255" s="41"/>
      <c r="F1255" s="41"/>
      <c r="G1255" s="41"/>
      <c r="H1255" s="41"/>
      <c r="I1255" s="41"/>
      <c r="J1255" s="41"/>
      <c r="K1255" s="41"/>
      <c r="L1255" s="41"/>
      <c r="M1255" s="41"/>
      <c r="N1255" s="41"/>
      <c r="O1255" s="41"/>
      <c r="P1255" s="41"/>
      <c r="Q1255" s="41"/>
      <c r="R1255" s="41"/>
      <c r="S1255" s="41"/>
    </row>
    <row r="1256" spans="1:19" x14ac:dyDescent="0.3">
      <c r="A1256" s="41"/>
      <c r="B1256" s="41"/>
      <c r="C1256" s="41"/>
      <c r="D1256" s="41"/>
      <c r="E1256" s="41"/>
      <c r="F1256" s="41"/>
      <c r="G1256" s="41"/>
      <c r="H1256" s="41"/>
      <c r="I1256" s="41"/>
      <c r="J1256" s="41"/>
      <c r="K1256" s="41"/>
      <c r="L1256" s="41"/>
      <c r="M1256" s="41"/>
      <c r="N1256" s="41"/>
      <c r="O1256" s="41"/>
      <c r="P1256" s="41"/>
      <c r="Q1256" s="41"/>
      <c r="R1256" s="41"/>
      <c r="S1256" s="41"/>
    </row>
    <row r="1257" spans="1:19" x14ac:dyDescent="0.3">
      <c r="A1257" s="41"/>
      <c r="B1257" s="41"/>
      <c r="C1257" s="41"/>
      <c r="D1257" s="41"/>
      <c r="E1257" s="41"/>
      <c r="F1257" s="41"/>
      <c r="G1257" s="41"/>
      <c r="H1257" s="41"/>
      <c r="I1257" s="41"/>
      <c r="J1257" s="41"/>
      <c r="K1257" s="41"/>
      <c r="L1257" s="41"/>
      <c r="M1257" s="41"/>
      <c r="N1257" s="41"/>
      <c r="O1257" s="41"/>
      <c r="P1257" s="41"/>
      <c r="Q1257" s="41"/>
      <c r="R1257" s="41"/>
      <c r="S1257" s="41"/>
    </row>
    <row r="1258" spans="1:19" x14ac:dyDescent="0.3">
      <c r="A1258" s="41"/>
      <c r="B1258" s="41"/>
      <c r="C1258" s="41"/>
      <c r="D1258" s="41"/>
      <c r="E1258" s="41"/>
      <c r="F1258" s="41"/>
      <c r="G1258" s="41"/>
      <c r="H1258" s="41"/>
      <c r="I1258" s="41"/>
      <c r="J1258" s="41"/>
      <c r="K1258" s="41"/>
      <c r="L1258" s="41"/>
      <c r="M1258" s="41"/>
      <c r="N1258" s="41"/>
      <c r="O1258" s="41"/>
      <c r="P1258" s="41"/>
      <c r="Q1258" s="41"/>
      <c r="R1258" s="41"/>
      <c r="S1258" s="41"/>
    </row>
    <row r="1259" spans="1:19" x14ac:dyDescent="0.3">
      <c r="A1259" s="41"/>
      <c r="B1259" s="41"/>
      <c r="C1259" s="41"/>
      <c r="D1259" s="41"/>
      <c r="E1259" s="41"/>
      <c r="F1259" s="41"/>
      <c r="G1259" s="41"/>
      <c r="H1259" s="41"/>
      <c r="I1259" s="41"/>
      <c r="J1259" s="41"/>
      <c r="K1259" s="41"/>
      <c r="L1259" s="41"/>
      <c r="M1259" s="41"/>
      <c r="N1259" s="41"/>
      <c r="O1259" s="41"/>
      <c r="P1259" s="41"/>
      <c r="Q1259" s="41"/>
      <c r="R1259" s="41"/>
      <c r="S1259" s="41"/>
    </row>
    <row r="1260" spans="1:19" x14ac:dyDescent="0.3">
      <c r="A1260" s="41"/>
      <c r="B1260" s="41"/>
      <c r="C1260" s="41"/>
      <c r="D1260" s="41"/>
      <c r="E1260" s="41"/>
      <c r="F1260" s="41"/>
      <c r="G1260" s="41"/>
      <c r="H1260" s="41"/>
      <c r="I1260" s="41"/>
      <c r="J1260" s="41"/>
      <c r="K1260" s="41"/>
      <c r="L1260" s="41"/>
      <c r="M1260" s="41"/>
      <c r="N1260" s="41"/>
      <c r="O1260" s="41"/>
      <c r="P1260" s="41"/>
      <c r="Q1260" s="41"/>
      <c r="R1260" s="41"/>
      <c r="S1260" s="41"/>
    </row>
    <row r="1261" spans="1:19" x14ac:dyDescent="0.3">
      <c r="A1261" s="41"/>
      <c r="B1261" s="41"/>
      <c r="C1261" s="41"/>
      <c r="D1261" s="41"/>
      <c r="E1261" s="41"/>
      <c r="F1261" s="41"/>
      <c r="G1261" s="41"/>
      <c r="H1261" s="41"/>
      <c r="I1261" s="41"/>
      <c r="J1261" s="41"/>
      <c r="K1261" s="41"/>
      <c r="L1261" s="41"/>
      <c r="M1261" s="41"/>
      <c r="N1261" s="41"/>
      <c r="O1261" s="41"/>
      <c r="P1261" s="41"/>
      <c r="Q1261" s="41"/>
      <c r="R1261" s="41"/>
      <c r="S1261" s="41"/>
    </row>
    <row r="1262" spans="1:19" x14ac:dyDescent="0.3">
      <c r="A1262" s="41"/>
      <c r="B1262" s="41"/>
      <c r="C1262" s="41"/>
      <c r="D1262" s="41"/>
      <c r="E1262" s="41"/>
      <c r="F1262" s="41"/>
      <c r="G1262" s="41"/>
      <c r="H1262" s="41"/>
      <c r="I1262" s="41"/>
      <c r="J1262" s="41"/>
      <c r="K1262" s="41"/>
      <c r="L1262" s="41"/>
      <c r="M1262" s="41"/>
      <c r="N1262" s="41"/>
      <c r="O1262" s="41"/>
      <c r="P1262" s="41"/>
      <c r="Q1262" s="41"/>
      <c r="R1262" s="41"/>
      <c r="S1262" s="41"/>
    </row>
    <row r="1263" spans="1:19" x14ac:dyDescent="0.3">
      <c r="A1263" s="41"/>
      <c r="B1263" s="41"/>
      <c r="C1263" s="41"/>
      <c r="D1263" s="41"/>
      <c r="E1263" s="41"/>
      <c r="F1263" s="41"/>
      <c r="G1263" s="41"/>
      <c r="H1263" s="41"/>
      <c r="I1263" s="41"/>
      <c r="J1263" s="41"/>
      <c r="K1263" s="41"/>
      <c r="L1263" s="41"/>
      <c r="M1263" s="41"/>
      <c r="N1263" s="41"/>
      <c r="O1263" s="41"/>
      <c r="P1263" s="41"/>
      <c r="Q1263" s="41"/>
      <c r="R1263" s="41"/>
      <c r="S1263" s="41"/>
    </row>
    <row r="1264" spans="1:19" x14ac:dyDescent="0.3">
      <c r="A1264" s="41"/>
      <c r="B1264" s="41"/>
      <c r="C1264" s="41"/>
      <c r="D1264" s="41"/>
      <c r="E1264" s="41"/>
      <c r="F1264" s="41"/>
      <c r="G1264" s="41"/>
      <c r="H1264" s="41"/>
      <c r="I1264" s="41"/>
      <c r="J1264" s="41"/>
      <c r="K1264" s="41"/>
      <c r="L1264" s="41"/>
      <c r="M1264" s="41"/>
      <c r="N1264" s="41"/>
      <c r="O1264" s="41"/>
      <c r="P1264" s="41"/>
      <c r="Q1264" s="41"/>
      <c r="R1264" s="41"/>
      <c r="S1264" s="41"/>
    </row>
    <row r="1265" spans="1:19" x14ac:dyDescent="0.3">
      <c r="A1265" s="41"/>
      <c r="B1265" s="41"/>
      <c r="C1265" s="41"/>
      <c r="D1265" s="41"/>
      <c r="E1265" s="41"/>
      <c r="F1265" s="41"/>
      <c r="G1265" s="41"/>
      <c r="H1265" s="41"/>
      <c r="I1265" s="41"/>
      <c r="J1265" s="41"/>
      <c r="K1265" s="41"/>
      <c r="L1265" s="41"/>
      <c r="M1265" s="41"/>
      <c r="N1265" s="41"/>
      <c r="O1265" s="41"/>
      <c r="P1265" s="41"/>
      <c r="Q1265" s="41"/>
      <c r="R1265" s="41"/>
      <c r="S1265" s="41"/>
    </row>
    <row r="1266" spans="1:19" x14ac:dyDescent="0.3">
      <c r="A1266" s="41"/>
      <c r="B1266" s="41"/>
      <c r="C1266" s="41"/>
      <c r="D1266" s="41"/>
      <c r="E1266" s="41"/>
      <c r="F1266" s="41"/>
      <c r="G1266" s="41"/>
      <c r="H1266" s="41"/>
      <c r="I1266" s="41"/>
      <c r="J1266" s="41"/>
      <c r="K1266" s="41"/>
      <c r="L1266" s="41"/>
      <c r="M1266" s="41"/>
      <c r="N1266" s="41"/>
      <c r="O1266" s="41"/>
      <c r="P1266" s="41"/>
      <c r="Q1266" s="41"/>
      <c r="R1266" s="41"/>
      <c r="S1266" s="41"/>
    </row>
    <row r="1267" spans="1:19" x14ac:dyDescent="0.3">
      <c r="A1267" s="41"/>
      <c r="B1267" s="41"/>
      <c r="C1267" s="41"/>
      <c r="D1267" s="41"/>
      <c r="E1267" s="41"/>
      <c r="F1267" s="41"/>
      <c r="G1267" s="41"/>
      <c r="H1267" s="41"/>
      <c r="I1267" s="41"/>
      <c r="J1267" s="41"/>
      <c r="K1267" s="41"/>
      <c r="L1267" s="41"/>
      <c r="M1267" s="41"/>
      <c r="N1267" s="41"/>
      <c r="O1267" s="41"/>
      <c r="P1267" s="41"/>
      <c r="Q1267" s="41"/>
      <c r="R1267" s="41"/>
      <c r="S1267" s="41"/>
    </row>
    <row r="1268" spans="1:19" x14ac:dyDescent="0.3">
      <c r="A1268" s="41"/>
      <c r="B1268" s="41"/>
      <c r="C1268" s="41"/>
      <c r="D1268" s="41"/>
      <c r="E1268" s="41"/>
      <c r="F1268" s="41"/>
      <c r="G1268" s="41"/>
      <c r="H1268" s="41"/>
      <c r="I1268" s="41"/>
      <c r="J1268" s="41"/>
      <c r="K1268" s="41"/>
      <c r="L1268" s="41"/>
      <c r="M1268" s="41"/>
      <c r="N1268" s="41"/>
      <c r="O1268" s="41"/>
      <c r="P1268" s="41"/>
      <c r="Q1268" s="41"/>
      <c r="R1268" s="41"/>
      <c r="S1268" s="41"/>
    </row>
    <row r="1269" spans="1:19" x14ac:dyDescent="0.3">
      <c r="A1269" s="41"/>
      <c r="B1269" s="41"/>
      <c r="C1269" s="41"/>
      <c r="D1269" s="41"/>
      <c r="E1269" s="41"/>
      <c r="F1269" s="41"/>
      <c r="G1269" s="41"/>
      <c r="H1269" s="41"/>
      <c r="I1269" s="41"/>
      <c r="J1269" s="41"/>
      <c r="K1269" s="41"/>
      <c r="L1269" s="41"/>
      <c r="M1269" s="41"/>
      <c r="N1269" s="41"/>
      <c r="O1269" s="41"/>
      <c r="P1269" s="41"/>
      <c r="Q1269" s="41"/>
      <c r="R1269" s="41"/>
      <c r="S1269" s="41"/>
    </row>
    <row r="1270" spans="1:19" x14ac:dyDescent="0.3">
      <c r="A1270" s="41"/>
      <c r="B1270" s="41"/>
      <c r="C1270" s="41"/>
      <c r="D1270" s="41"/>
      <c r="E1270" s="41"/>
      <c r="F1270" s="41"/>
      <c r="G1270" s="41"/>
      <c r="H1270" s="41"/>
      <c r="I1270" s="41"/>
      <c r="J1270" s="41"/>
      <c r="K1270" s="41"/>
      <c r="L1270" s="41"/>
      <c r="M1270" s="41"/>
      <c r="N1270" s="41"/>
      <c r="O1270" s="41"/>
      <c r="P1270" s="41"/>
      <c r="Q1270" s="41"/>
      <c r="R1270" s="41"/>
      <c r="S1270" s="41"/>
    </row>
    <row r="1271" spans="1:19" x14ac:dyDescent="0.3">
      <c r="A1271" s="41"/>
      <c r="B1271" s="41"/>
      <c r="C1271" s="41"/>
      <c r="D1271" s="41"/>
      <c r="E1271" s="41"/>
      <c r="F1271" s="41"/>
      <c r="G1271" s="41"/>
      <c r="H1271" s="41"/>
      <c r="I1271" s="41"/>
      <c r="J1271" s="41"/>
      <c r="K1271" s="41"/>
      <c r="L1271" s="41"/>
      <c r="M1271" s="41"/>
      <c r="N1271" s="41"/>
      <c r="O1271" s="41"/>
      <c r="P1271" s="41"/>
      <c r="Q1271" s="41"/>
      <c r="R1271" s="41"/>
      <c r="S1271" s="41"/>
    </row>
    <row r="1272" spans="1:19" x14ac:dyDescent="0.3">
      <c r="A1272" s="41"/>
      <c r="B1272" s="41"/>
      <c r="C1272" s="41"/>
      <c r="D1272" s="41"/>
      <c r="E1272" s="41"/>
      <c r="F1272" s="41"/>
      <c r="G1272" s="41"/>
      <c r="H1272" s="41"/>
      <c r="I1272" s="41"/>
      <c r="J1272" s="41"/>
      <c r="K1272" s="41"/>
      <c r="L1272" s="41"/>
      <c r="M1272" s="41"/>
      <c r="N1272" s="41"/>
      <c r="O1272" s="41"/>
      <c r="P1272" s="41"/>
      <c r="Q1272" s="41"/>
      <c r="R1272" s="41"/>
      <c r="S1272" s="41"/>
    </row>
    <row r="1273" spans="1:19" x14ac:dyDescent="0.3">
      <c r="A1273" s="41"/>
      <c r="B1273" s="41"/>
      <c r="C1273" s="41"/>
      <c r="D1273" s="41"/>
      <c r="E1273" s="41"/>
      <c r="F1273" s="41"/>
      <c r="G1273" s="41"/>
      <c r="H1273" s="41"/>
      <c r="I1273" s="41"/>
      <c r="J1273" s="41"/>
      <c r="K1273" s="41"/>
      <c r="L1273" s="41"/>
      <c r="M1273" s="41"/>
      <c r="N1273" s="41"/>
      <c r="O1273" s="41"/>
      <c r="P1273" s="41"/>
      <c r="Q1273" s="41"/>
      <c r="R1273" s="41"/>
      <c r="S1273" s="41"/>
    </row>
    <row r="1274" spans="1:19" x14ac:dyDescent="0.3">
      <c r="A1274" s="41"/>
      <c r="B1274" s="41"/>
      <c r="C1274" s="41"/>
      <c r="D1274" s="41"/>
      <c r="E1274" s="41"/>
      <c r="F1274" s="41"/>
      <c r="G1274" s="41"/>
      <c r="H1274" s="41"/>
      <c r="I1274" s="41"/>
      <c r="J1274" s="41"/>
      <c r="K1274" s="41"/>
      <c r="L1274" s="41"/>
      <c r="M1274" s="41"/>
      <c r="N1274" s="41"/>
      <c r="O1274" s="41"/>
      <c r="P1274" s="41"/>
      <c r="Q1274" s="41"/>
      <c r="R1274" s="41"/>
      <c r="S1274" s="41"/>
    </row>
    <row r="1275" spans="1:19" x14ac:dyDescent="0.3">
      <c r="A1275" s="41"/>
      <c r="B1275" s="41"/>
      <c r="C1275" s="41"/>
      <c r="D1275" s="41"/>
      <c r="E1275" s="41"/>
      <c r="F1275" s="41"/>
      <c r="G1275" s="41"/>
      <c r="H1275" s="41"/>
      <c r="I1275" s="41"/>
      <c r="J1275" s="41"/>
      <c r="K1275" s="41"/>
      <c r="L1275" s="41"/>
      <c r="M1275" s="41"/>
      <c r="N1275" s="41"/>
      <c r="O1275" s="41"/>
      <c r="P1275" s="41"/>
      <c r="Q1275" s="41"/>
      <c r="R1275" s="41"/>
      <c r="S1275" s="41"/>
    </row>
    <row r="1276" spans="1:19" x14ac:dyDescent="0.3">
      <c r="A1276" s="41"/>
      <c r="B1276" s="41"/>
      <c r="C1276" s="41"/>
      <c r="D1276" s="41"/>
      <c r="E1276" s="41"/>
      <c r="F1276" s="41"/>
      <c r="G1276" s="41"/>
      <c r="H1276" s="41"/>
      <c r="I1276" s="41"/>
      <c r="J1276" s="41"/>
      <c r="K1276" s="41"/>
      <c r="L1276" s="41"/>
      <c r="M1276" s="41"/>
      <c r="N1276" s="41"/>
      <c r="O1276" s="41"/>
      <c r="P1276" s="41"/>
      <c r="Q1276" s="41"/>
      <c r="R1276" s="41"/>
      <c r="S1276" s="41"/>
    </row>
    <row r="1277" spans="1:19" x14ac:dyDescent="0.3">
      <c r="A1277" s="41"/>
      <c r="B1277" s="41"/>
      <c r="C1277" s="41"/>
      <c r="D1277" s="41"/>
      <c r="E1277" s="41"/>
      <c r="F1277" s="41"/>
      <c r="G1277" s="41"/>
      <c r="H1277" s="41"/>
      <c r="I1277" s="41"/>
      <c r="J1277" s="41"/>
      <c r="K1277" s="41"/>
      <c r="L1277" s="41"/>
      <c r="M1277" s="41"/>
      <c r="N1277" s="41"/>
      <c r="O1277" s="41"/>
      <c r="P1277" s="41"/>
      <c r="Q1277" s="41"/>
      <c r="R1277" s="41"/>
      <c r="S1277" s="41"/>
    </row>
    <row r="1278" spans="1:19" x14ac:dyDescent="0.3">
      <c r="A1278" s="41"/>
      <c r="B1278" s="41"/>
      <c r="C1278" s="41"/>
      <c r="D1278" s="41"/>
      <c r="E1278" s="41"/>
      <c r="F1278" s="41"/>
      <c r="G1278" s="41"/>
      <c r="H1278" s="41"/>
      <c r="I1278" s="41"/>
      <c r="J1278" s="41"/>
      <c r="K1278" s="41"/>
      <c r="L1278" s="41"/>
      <c r="M1278" s="41"/>
      <c r="N1278" s="41"/>
      <c r="O1278" s="41"/>
      <c r="P1278" s="41"/>
      <c r="Q1278" s="41"/>
      <c r="R1278" s="41"/>
      <c r="S1278" s="41"/>
    </row>
    <row r="1279" spans="1:19" x14ac:dyDescent="0.3">
      <c r="A1279" s="41"/>
      <c r="B1279" s="41"/>
      <c r="C1279" s="41"/>
      <c r="D1279" s="41"/>
      <c r="E1279" s="41"/>
      <c r="F1279" s="41"/>
      <c r="G1279" s="41"/>
      <c r="H1279" s="41"/>
      <c r="I1279" s="41"/>
      <c r="J1279" s="41"/>
      <c r="K1279" s="41"/>
      <c r="L1279" s="41"/>
      <c r="M1279" s="41"/>
      <c r="N1279" s="41"/>
      <c r="O1279" s="41"/>
      <c r="P1279" s="41"/>
      <c r="Q1279" s="41"/>
      <c r="R1279" s="41"/>
      <c r="S1279" s="41"/>
    </row>
    <row r="1280" spans="1:19" x14ac:dyDescent="0.3">
      <c r="A1280" s="41"/>
      <c r="B1280" s="41"/>
      <c r="C1280" s="41"/>
      <c r="D1280" s="41"/>
      <c r="E1280" s="41"/>
      <c r="F1280" s="41"/>
      <c r="G1280" s="41"/>
      <c r="H1280" s="41"/>
      <c r="I1280" s="41"/>
      <c r="J1280" s="41"/>
      <c r="K1280" s="41"/>
      <c r="L1280" s="41"/>
      <c r="M1280" s="41"/>
      <c r="N1280" s="41"/>
      <c r="O1280" s="41"/>
      <c r="P1280" s="41"/>
      <c r="Q1280" s="41"/>
      <c r="R1280" s="41"/>
      <c r="S1280" s="41"/>
    </row>
    <row r="1281" spans="1:19" x14ac:dyDescent="0.3">
      <c r="A1281" s="41"/>
      <c r="B1281" s="41"/>
      <c r="C1281" s="41"/>
      <c r="D1281" s="41"/>
      <c r="E1281" s="41"/>
      <c r="F1281" s="41"/>
      <c r="G1281" s="41"/>
      <c r="H1281" s="41"/>
      <c r="I1281" s="41"/>
      <c r="J1281" s="41"/>
      <c r="K1281" s="41"/>
      <c r="L1281" s="41"/>
      <c r="M1281" s="41"/>
      <c r="N1281" s="41"/>
      <c r="O1281" s="41"/>
      <c r="P1281" s="41"/>
      <c r="Q1281" s="41"/>
      <c r="R1281" s="41"/>
      <c r="S1281" s="41"/>
    </row>
    <row r="1282" spans="1:19" x14ac:dyDescent="0.3">
      <c r="A1282" s="41"/>
      <c r="B1282" s="41"/>
      <c r="C1282" s="41"/>
      <c r="D1282" s="41"/>
      <c r="E1282" s="41"/>
      <c r="F1282" s="41"/>
      <c r="G1282" s="41"/>
      <c r="H1282" s="41"/>
      <c r="I1282" s="41"/>
      <c r="J1282" s="41"/>
      <c r="K1282" s="41"/>
      <c r="L1282" s="41"/>
      <c r="M1282" s="41"/>
      <c r="N1282" s="41"/>
      <c r="O1282" s="41"/>
      <c r="P1282" s="41"/>
      <c r="Q1282" s="41"/>
      <c r="R1282" s="41"/>
      <c r="S1282" s="41"/>
    </row>
    <row r="1283" spans="1:19" x14ac:dyDescent="0.3">
      <c r="A1283" s="41"/>
      <c r="B1283" s="41"/>
      <c r="C1283" s="41"/>
      <c r="D1283" s="41"/>
      <c r="E1283" s="41"/>
      <c r="F1283" s="41"/>
      <c r="G1283" s="41"/>
      <c r="H1283" s="41"/>
      <c r="I1283" s="41"/>
      <c r="J1283" s="41"/>
      <c r="K1283" s="41"/>
      <c r="L1283" s="41"/>
      <c r="M1283" s="41"/>
      <c r="N1283" s="41"/>
      <c r="O1283" s="41"/>
      <c r="P1283" s="41"/>
      <c r="Q1283" s="41"/>
      <c r="R1283" s="41"/>
      <c r="S1283" s="41"/>
    </row>
    <row r="1284" spans="1:19" x14ac:dyDescent="0.3">
      <c r="A1284" s="41"/>
      <c r="B1284" s="41"/>
      <c r="C1284" s="41"/>
      <c r="D1284" s="41"/>
      <c r="E1284" s="41"/>
      <c r="F1284" s="41"/>
      <c r="G1284" s="41"/>
      <c r="H1284" s="41"/>
      <c r="I1284" s="41"/>
      <c r="J1284" s="41"/>
      <c r="K1284" s="41"/>
      <c r="L1284" s="41"/>
      <c r="M1284" s="41"/>
      <c r="N1284" s="41"/>
      <c r="O1284" s="41"/>
      <c r="P1284" s="41"/>
      <c r="Q1284" s="41"/>
      <c r="R1284" s="41"/>
      <c r="S1284" s="41"/>
    </row>
    <row r="1285" spans="1:19" x14ac:dyDescent="0.3">
      <c r="A1285" s="41"/>
      <c r="B1285" s="41"/>
      <c r="C1285" s="41"/>
      <c r="D1285" s="41"/>
      <c r="E1285" s="41"/>
      <c r="F1285" s="41"/>
      <c r="G1285" s="41"/>
      <c r="H1285" s="41"/>
      <c r="I1285" s="41"/>
      <c r="J1285" s="41"/>
      <c r="K1285" s="41"/>
      <c r="L1285" s="41"/>
      <c r="M1285" s="41"/>
      <c r="N1285" s="41"/>
      <c r="O1285" s="41"/>
      <c r="P1285" s="41"/>
      <c r="Q1285" s="41"/>
      <c r="R1285" s="41"/>
      <c r="S1285" s="41"/>
    </row>
    <row r="1286" spans="1:19" x14ac:dyDescent="0.3">
      <c r="A1286" s="41"/>
      <c r="B1286" s="41"/>
      <c r="C1286" s="41"/>
      <c r="D1286" s="41"/>
      <c r="E1286" s="41"/>
      <c r="F1286" s="41"/>
      <c r="G1286" s="41"/>
      <c r="H1286" s="41"/>
      <c r="I1286" s="41"/>
      <c r="J1286" s="41"/>
      <c r="K1286" s="41"/>
      <c r="L1286" s="41"/>
      <c r="M1286" s="41"/>
      <c r="N1286" s="41"/>
      <c r="O1286" s="41"/>
      <c r="P1286" s="41"/>
      <c r="Q1286" s="41"/>
      <c r="R1286" s="41"/>
      <c r="S1286" s="41"/>
    </row>
    <row r="1287" spans="1:19" x14ac:dyDescent="0.3">
      <c r="A1287" s="41"/>
      <c r="B1287" s="41"/>
      <c r="C1287" s="41"/>
      <c r="D1287" s="41"/>
      <c r="E1287" s="41"/>
      <c r="F1287" s="41"/>
      <c r="G1287" s="41"/>
      <c r="H1287" s="41"/>
      <c r="I1287" s="41"/>
      <c r="J1287" s="41"/>
      <c r="K1287" s="41"/>
      <c r="L1287" s="41"/>
      <c r="M1287" s="41"/>
      <c r="N1287" s="41"/>
      <c r="O1287" s="41"/>
      <c r="P1287" s="41"/>
      <c r="Q1287" s="41"/>
      <c r="R1287" s="41"/>
      <c r="S1287" s="41"/>
    </row>
    <row r="1288" spans="1:19" x14ac:dyDescent="0.3">
      <c r="A1288" s="41"/>
      <c r="B1288" s="41"/>
      <c r="C1288" s="41"/>
      <c r="D1288" s="41"/>
      <c r="E1288" s="41"/>
      <c r="F1288" s="41"/>
      <c r="G1288" s="41"/>
      <c r="H1288" s="41"/>
      <c r="I1288" s="41"/>
      <c r="J1288" s="41"/>
      <c r="K1288" s="41"/>
      <c r="L1288" s="41"/>
      <c r="M1288" s="41"/>
      <c r="N1288" s="41"/>
      <c r="O1288" s="41"/>
      <c r="P1288" s="41"/>
      <c r="Q1288" s="41"/>
      <c r="R1288" s="41"/>
      <c r="S1288" s="41"/>
    </row>
    <row r="1289" spans="1:19" x14ac:dyDescent="0.3">
      <c r="A1289" s="41"/>
      <c r="B1289" s="41"/>
      <c r="C1289" s="41"/>
      <c r="D1289" s="41"/>
      <c r="E1289" s="41"/>
      <c r="F1289" s="41"/>
      <c r="G1289" s="41"/>
      <c r="H1289" s="41"/>
      <c r="I1289" s="41"/>
      <c r="J1289" s="41"/>
      <c r="K1289" s="41"/>
      <c r="L1289" s="41"/>
      <c r="M1289" s="41"/>
      <c r="N1289" s="41"/>
      <c r="O1289" s="41"/>
      <c r="P1289" s="41"/>
      <c r="Q1289" s="41"/>
      <c r="R1289" s="41"/>
      <c r="S1289" s="41"/>
    </row>
    <row r="1290" spans="1:19" x14ac:dyDescent="0.3">
      <c r="A1290" s="41"/>
      <c r="B1290" s="41"/>
      <c r="C1290" s="41"/>
      <c r="D1290" s="41"/>
      <c r="E1290" s="41"/>
      <c r="F1290" s="41"/>
      <c r="G1290" s="41"/>
      <c r="H1290" s="41"/>
      <c r="I1290" s="41"/>
      <c r="J1290" s="41"/>
      <c r="K1290" s="41"/>
      <c r="L1290" s="41"/>
      <c r="M1290" s="41"/>
      <c r="N1290" s="41"/>
      <c r="O1290" s="41"/>
      <c r="P1290" s="41"/>
      <c r="Q1290" s="41"/>
      <c r="R1290" s="41"/>
      <c r="S1290" s="41"/>
    </row>
    <row r="1291" spans="1:19" x14ac:dyDescent="0.3">
      <c r="A1291" s="41"/>
      <c r="B1291" s="41"/>
      <c r="C1291" s="41"/>
      <c r="D1291" s="41"/>
      <c r="E1291" s="41"/>
      <c r="F1291" s="41"/>
      <c r="G1291" s="41"/>
      <c r="H1291" s="41"/>
      <c r="I1291" s="41"/>
      <c r="J1291" s="41"/>
      <c r="K1291" s="41"/>
      <c r="L1291" s="41"/>
      <c r="M1291" s="41"/>
      <c r="N1291" s="41"/>
      <c r="O1291" s="41"/>
      <c r="P1291" s="41"/>
      <c r="Q1291" s="41"/>
      <c r="R1291" s="41"/>
      <c r="S1291" s="41"/>
    </row>
    <row r="1292" spans="1:19" x14ac:dyDescent="0.3">
      <c r="A1292" s="41"/>
      <c r="B1292" s="41"/>
      <c r="C1292" s="41"/>
      <c r="D1292" s="41"/>
      <c r="E1292" s="41"/>
      <c r="F1292" s="41"/>
      <c r="G1292" s="41"/>
      <c r="H1292" s="41"/>
      <c r="I1292" s="41"/>
      <c r="J1292" s="41"/>
      <c r="K1292" s="41"/>
      <c r="L1292" s="41"/>
      <c r="M1292" s="41"/>
      <c r="N1292" s="41"/>
      <c r="O1292" s="41"/>
      <c r="P1292" s="41"/>
      <c r="Q1292" s="41"/>
      <c r="R1292" s="41"/>
      <c r="S1292" s="41"/>
    </row>
    <row r="1293" spans="1:19" x14ac:dyDescent="0.3">
      <c r="A1293" s="41"/>
      <c r="B1293" s="41"/>
      <c r="C1293" s="41"/>
      <c r="D1293" s="41"/>
      <c r="E1293" s="41"/>
      <c r="F1293" s="41"/>
      <c r="G1293" s="41"/>
      <c r="H1293" s="41"/>
      <c r="I1293" s="41"/>
      <c r="J1293" s="41"/>
      <c r="K1293" s="41"/>
      <c r="L1293" s="41"/>
      <c r="M1293" s="41"/>
      <c r="N1293" s="41"/>
      <c r="O1293" s="41"/>
      <c r="P1293" s="41"/>
      <c r="Q1293" s="41"/>
      <c r="R1293" s="41"/>
      <c r="S1293" s="41"/>
    </row>
    <row r="1294" spans="1:19" x14ac:dyDescent="0.3">
      <c r="A1294" s="41"/>
      <c r="B1294" s="41"/>
      <c r="C1294" s="41"/>
      <c r="D1294" s="41"/>
      <c r="E1294" s="41"/>
      <c r="F1294" s="41"/>
      <c r="G1294" s="41"/>
      <c r="H1294" s="41"/>
      <c r="I1294" s="41"/>
      <c r="J1294" s="41"/>
      <c r="K1294" s="41"/>
      <c r="L1294" s="41"/>
      <c r="M1294" s="41"/>
      <c r="N1294" s="41"/>
      <c r="O1294" s="41"/>
      <c r="P1294" s="41"/>
      <c r="Q1294" s="41"/>
      <c r="R1294" s="41"/>
      <c r="S1294" s="41"/>
    </row>
    <row r="1295" spans="1:19" x14ac:dyDescent="0.3">
      <c r="A1295" s="41"/>
      <c r="B1295" s="41"/>
      <c r="C1295" s="41"/>
      <c r="D1295" s="41"/>
      <c r="E1295" s="41"/>
      <c r="F1295" s="41"/>
      <c r="G1295" s="41"/>
      <c r="H1295" s="41"/>
      <c r="I1295" s="41"/>
      <c r="J1295" s="41"/>
      <c r="K1295" s="41"/>
      <c r="L1295" s="41"/>
      <c r="M1295" s="41"/>
      <c r="N1295" s="41"/>
      <c r="O1295" s="41"/>
      <c r="P1295" s="41"/>
      <c r="Q1295" s="41"/>
      <c r="R1295" s="41"/>
      <c r="S1295" s="41"/>
    </row>
    <row r="1296" spans="1:19" x14ac:dyDescent="0.3">
      <c r="A1296" s="41"/>
      <c r="B1296" s="41"/>
      <c r="C1296" s="41"/>
      <c r="D1296" s="41"/>
      <c r="E1296" s="41"/>
      <c r="F1296" s="41"/>
      <c r="G1296" s="41"/>
      <c r="H1296" s="41"/>
      <c r="I1296" s="41"/>
      <c r="J1296" s="41"/>
      <c r="K1296" s="41"/>
      <c r="L1296" s="41"/>
      <c r="M1296" s="41"/>
      <c r="N1296" s="41"/>
      <c r="O1296" s="41"/>
      <c r="P1296" s="41"/>
      <c r="Q1296" s="41"/>
      <c r="R1296" s="41"/>
      <c r="S1296" s="41"/>
    </row>
    <row r="1297" spans="1:19" x14ac:dyDescent="0.3">
      <c r="A1297" s="41"/>
      <c r="B1297" s="41"/>
      <c r="C1297" s="41"/>
      <c r="D1297" s="41"/>
      <c r="E1297" s="41"/>
      <c r="F1297" s="41"/>
      <c r="G1297" s="41"/>
      <c r="H1297" s="41"/>
      <c r="I1297" s="41"/>
      <c r="J1297" s="41"/>
      <c r="K1297" s="41"/>
      <c r="L1297" s="41"/>
      <c r="M1297" s="41"/>
      <c r="N1297" s="41"/>
      <c r="O1297" s="41"/>
      <c r="P1297" s="41"/>
      <c r="Q1297" s="41"/>
      <c r="R1297" s="41"/>
      <c r="S1297" s="41"/>
    </row>
    <row r="1298" spans="1:19" x14ac:dyDescent="0.3">
      <c r="A1298" s="41"/>
      <c r="B1298" s="41"/>
      <c r="C1298" s="41"/>
      <c r="D1298" s="41"/>
      <c r="E1298" s="41"/>
      <c r="F1298" s="41"/>
      <c r="G1298" s="41"/>
      <c r="H1298" s="41"/>
      <c r="I1298" s="41"/>
      <c r="J1298" s="41"/>
      <c r="K1298" s="41"/>
      <c r="L1298" s="41"/>
      <c r="M1298" s="41"/>
      <c r="N1298" s="41"/>
      <c r="O1298" s="41"/>
      <c r="P1298" s="41"/>
      <c r="Q1298" s="41"/>
      <c r="R1298" s="41"/>
      <c r="S1298" s="41"/>
    </row>
    <row r="1299" spans="1:19" x14ac:dyDescent="0.3">
      <c r="A1299" s="41"/>
      <c r="B1299" s="41"/>
      <c r="C1299" s="41"/>
      <c r="D1299" s="41"/>
      <c r="E1299" s="41"/>
      <c r="F1299" s="41"/>
      <c r="G1299" s="41"/>
      <c r="H1299" s="41"/>
      <c r="I1299" s="41"/>
      <c r="J1299" s="41"/>
      <c r="K1299" s="41"/>
      <c r="L1299" s="41"/>
      <c r="M1299" s="41"/>
      <c r="N1299" s="41"/>
      <c r="O1299" s="41"/>
      <c r="P1299" s="41"/>
      <c r="Q1299" s="41"/>
      <c r="R1299" s="41"/>
      <c r="S1299" s="41"/>
    </row>
    <row r="1300" spans="1:19" x14ac:dyDescent="0.3">
      <c r="A1300" s="41"/>
      <c r="B1300" s="41"/>
      <c r="C1300" s="41"/>
      <c r="D1300" s="41"/>
      <c r="E1300" s="41"/>
      <c r="F1300" s="41"/>
      <c r="G1300" s="41"/>
      <c r="H1300" s="41"/>
      <c r="I1300" s="41"/>
      <c r="J1300" s="41"/>
      <c r="K1300" s="41"/>
      <c r="L1300" s="41"/>
      <c r="M1300" s="41"/>
      <c r="N1300" s="41"/>
      <c r="O1300" s="41"/>
      <c r="P1300" s="41"/>
      <c r="Q1300" s="41"/>
      <c r="R1300" s="41"/>
      <c r="S1300" s="41"/>
    </row>
    <row r="1301" spans="1:19" x14ac:dyDescent="0.3">
      <c r="A1301" s="41"/>
      <c r="B1301" s="41"/>
      <c r="C1301" s="41"/>
      <c r="D1301" s="41"/>
      <c r="E1301" s="41"/>
      <c r="F1301" s="41"/>
      <c r="G1301" s="41"/>
      <c r="H1301" s="41"/>
      <c r="I1301" s="41"/>
      <c r="J1301" s="41"/>
      <c r="K1301" s="41"/>
      <c r="L1301" s="41"/>
      <c r="M1301" s="41"/>
      <c r="N1301" s="41"/>
      <c r="O1301" s="41"/>
      <c r="P1301" s="41"/>
      <c r="Q1301" s="41"/>
      <c r="R1301" s="41"/>
      <c r="S1301" s="41"/>
    </row>
    <row r="1302" spans="1:19" x14ac:dyDescent="0.3">
      <c r="A1302" s="41"/>
      <c r="B1302" s="41"/>
      <c r="C1302" s="41"/>
      <c r="D1302" s="41"/>
      <c r="E1302" s="41"/>
      <c r="F1302" s="41"/>
      <c r="G1302" s="41"/>
      <c r="H1302" s="41"/>
      <c r="I1302" s="41"/>
      <c r="J1302" s="41"/>
      <c r="K1302" s="41"/>
      <c r="L1302" s="41"/>
      <c r="M1302" s="41"/>
      <c r="N1302" s="41"/>
      <c r="O1302" s="41"/>
      <c r="P1302" s="41"/>
      <c r="Q1302" s="41"/>
      <c r="R1302" s="41"/>
      <c r="S1302" s="41"/>
    </row>
    <row r="1303" spans="1:19" x14ac:dyDescent="0.3">
      <c r="A1303" s="41"/>
      <c r="B1303" s="41"/>
      <c r="C1303" s="41"/>
      <c r="D1303" s="41"/>
      <c r="E1303" s="41"/>
      <c r="F1303" s="41"/>
      <c r="G1303" s="41"/>
      <c r="H1303" s="41"/>
      <c r="I1303" s="41"/>
      <c r="J1303" s="41"/>
      <c r="K1303" s="41"/>
      <c r="L1303" s="41"/>
      <c r="M1303" s="41"/>
      <c r="N1303" s="41"/>
      <c r="O1303" s="41"/>
      <c r="P1303" s="41"/>
      <c r="Q1303" s="41"/>
      <c r="R1303" s="41"/>
      <c r="S1303" s="41"/>
    </row>
    <row r="1304" spans="1:19" x14ac:dyDescent="0.3">
      <c r="A1304" s="41"/>
      <c r="B1304" s="41"/>
      <c r="C1304" s="41"/>
      <c r="D1304" s="41"/>
      <c r="E1304" s="41"/>
      <c r="F1304" s="41"/>
      <c r="G1304" s="41"/>
      <c r="H1304" s="41"/>
      <c r="I1304" s="41"/>
      <c r="J1304" s="41"/>
      <c r="K1304" s="41"/>
      <c r="L1304" s="41"/>
      <c r="M1304" s="41"/>
      <c r="N1304" s="41"/>
      <c r="O1304" s="41"/>
      <c r="P1304" s="41"/>
      <c r="Q1304" s="41"/>
      <c r="R1304" s="41"/>
      <c r="S1304" s="41"/>
    </row>
    <row r="1305" spans="1:19" x14ac:dyDescent="0.3">
      <c r="A1305" s="41"/>
      <c r="B1305" s="41"/>
      <c r="C1305" s="41"/>
      <c r="D1305" s="41"/>
      <c r="E1305" s="41"/>
      <c r="F1305" s="41"/>
      <c r="G1305" s="41"/>
      <c r="H1305" s="41"/>
      <c r="I1305" s="41"/>
      <c r="J1305" s="41"/>
      <c r="K1305" s="41"/>
      <c r="L1305" s="41"/>
      <c r="M1305" s="41"/>
      <c r="N1305" s="41"/>
      <c r="O1305" s="41"/>
      <c r="P1305" s="41"/>
      <c r="Q1305" s="41"/>
      <c r="R1305" s="41"/>
      <c r="S1305" s="41"/>
    </row>
    <row r="1306" spans="1:19" x14ac:dyDescent="0.3">
      <c r="A1306" s="41"/>
      <c r="B1306" s="41"/>
      <c r="C1306" s="41"/>
      <c r="D1306" s="41"/>
      <c r="E1306" s="41"/>
      <c r="F1306" s="41"/>
      <c r="G1306" s="41"/>
      <c r="H1306" s="41"/>
      <c r="I1306" s="41"/>
      <c r="J1306" s="41"/>
      <c r="K1306" s="41"/>
      <c r="L1306" s="41"/>
      <c r="M1306" s="41"/>
      <c r="N1306" s="41"/>
      <c r="O1306" s="41"/>
      <c r="P1306" s="41"/>
      <c r="Q1306" s="41"/>
      <c r="R1306" s="41"/>
      <c r="S1306" s="41"/>
    </row>
    <row r="1307" spans="1:19" x14ac:dyDescent="0.3">
      <c r="A1307" s="41"/>
      <c r="B1307" s="41"/>
      <c r="C1307" s="41"/>
      <c r="D1307" s="41"/>
      <c r="E1307" s="41"/>
      <c r="F1307" s="41"/>
      <c r="G1307" s="41"/>
      <c r="H1307" s="41"/>
      <c r="I1307" s="41"/>
      <c r="J1307" s="41"/>
      <c r="K1307" s="41"/>
      <c r="L1307" s="41"/>
      <c r="M1307" s="41"/>
      <c r="N1307" s="41"/>
      <c r="O1307" s="41"/>
      <c r="P1307" s="41"/>
      <c r="Q1307" s="41"/>
      <c r="R1307" s="41"/>
      <c r="S1307" s="41"/>
    </row>
    <row r="1308" spans="1:19" x14ac:dyDescent="0.3">
      <c r="A1308" s="41"/>
      <c r="B1308" s="41"/>
      <c r="C1308" s="41"/>
      <c r="D1308" s="41"/>
      <c r="E1308" s="41"/>
      <c r="F1308" s="41"/>
      <c r="G1308" s="41"/>
      <c r="H1308" s="41"/>
      <c r="I1308" s="41"/>
      <c r="J1308" s="41"/>
      <c r="K1308" s="41"/>
      <c r="L1308" s="41"/>
      <c r="M1308" s="41"/>
      <c r="N1308" s="41"/>
      <c r="O1308" s="41"/>
      <c r="P1308" s="41"/>
      <c r="Q1308" s="41"/>
      <c r="R1308" s="41"/>
      <c r="S1308" s="41"/>
    </row>
    <row r="1309" spans="1:19" x14ac:dyDescent="0.3">
      <c r="A1309" s="41"/>
      <c r="B1309" s="41"/>
      <c r="C1309" s="41"/>
      <c r="D1309" s="41"/>
      <c r="E1309" s="41"/>
      <c r="F1309" s="41"/>
      <c r="G1309" s="41"/>
      <c r="H1309" s="41"/>
      <c r="I1309" s="41"/>
      <c r="J1309" s="41"/>
      <c r="K1309" s="41"/>
      <c r="L1309" s="41"/>
      <c r="M1309" s="41"/>
      <c r="N1309" s="41"/>
      <c r="O1309" s="41"/>
      <c r="P1309" s="41"/>
      <c r="Q1309" s="41"/>
      <c r="R1309" s="41"/>
      <c r="S1309" s="41"/>
    </row>
    <row r="1310" spans="1:19" x14ac:dyDescent="0.3">
      <c r="A1310" s="41"/>
      <c r="B1310" s="41"/>
      <c r="C1310" s="41"/>
      <c r="D1310" s="41"/>
      <c r="E1310" s="41"/>
      <c r="F1310" s="41"/>
      <c r="G1310" s="41"/>
      <c r="H1310" s="41"/>
      <c r="I1310" s="41"/>
      <c r="J1310" s="41"/>
      <c r="K1310" s="41"/>
      <c r="L1310" s="41"/>
      <c r="M1310" s="41"/>
      <c r="N1310" s="41"/>
      <c r="O1310" s="41"/>
      <c r="P1310" s="41"/>
      <c r="Q1310" s="41"/>
      <c r="R1310" s="41"/>
      <c r="S1310" s="41"/>
    </row>
    <row r="1311" spans="1:19" x14ac:dyDescent="0.3">
      <c r="A1311" s="41"/>
      <c r="B1311" s="41"/>
      <c r="C1311" s="41"/>
      <c r="D1311" s="41"/>
      <c r="E1311" s="41"/>
      <c r="F1311" s="41"/>
      <c r="G1311" s="41"/>
      <c r="H1311" s="41"/>
      <c r="I1311" s="41"/>
      <c r="J1311" s="41"/>
      <c r="K1311" s="41"/>
      <c r="L1311" s="41"/>
      <c r="M1311" s="41"/>
      <c r="N1311" s="41"/>
      <c r="O1311" s="41"/>
      <c r="P1311" s="41"/>
      <c r="Q1311" s="41"/>
      <c r="R1311" s="41"/>
      <c r="S1311" s="41"/>
    </row>
    <row r="1312" spans="1:19" x14ac:dyDescent="0.3">
      <c r="A1312" s="41"/>
      <c r="B1312" s="41"/>
      <c r="C1312" s="41"/>
      <c r="D1312" s="41"/>
      <c r="E1312" s="41"/>
      <c r="F1312" s="41"/>
      <c r="G1312" s="41"/>
      <c r="H1312" s="41"/>
      <c r="I1312" s="41"/>
      <c r="J1312" s="41"/>
      <c r="K1312" s="41"/>
      <c r="L1312" s="41"/>
      <c r="M1312" s="41"/>
      <c r="N1312" s="41"/>
      <c r="O1312" s="41"/>
      <c r="P1312" s="41"/>
      <c r="Q1312" s="41"/>
      <c r="R1312" s="41"/>
      <c r="S1312" s="41"/>
    </row>
    <row r="1313" spans="1:19" x14ac:dyDescent="0.3">
      <c r="A1313" s="41"/>
      <c r="B1313" s="41"/>
      <c r="C1313" s="41"/>
      <c r="D1313" s="41"/>
      <c r="E1313" s="41"/>
      <c r="F1313" s="41"/>
      <c r="G1313" s="41"/>
      <c r="H1313" s="41"/>
      <c r="I1313" s="41"/>
      <c r="J1313" s="41"/>
      <c r="K1313" s="41"/>
      <c r="L1313" s="41"/>
      <c r="M1313" s="41"/>
      <c r="N1313" s="41"/>
      <c r="O1313" s="41"/>
      <c r="P1313" s="41"/>
      <c r="Q1313" s="41"/>
      <c r="R1313" s="41"/>
      <c r="S1313" s="41"/>
    </row>
    <row r="1314" spans="1:19" x14ac:dyDescent="0.3">
      <c r="A1314" s="41"/>
      <c r="B1314" s="41"/>
      <c r="C1314" s="41"/>
      <c r="D1314" s="41"/>
      <c r="E1314" s="41"/>
      <c r="F1314" s="41"/>
      <c r="G1314" s="41"/>
      <c r="H1314" s="41"/>
      <c r="I1314" s="41"/>
      <c r="J1314" s="41"/>
      <c r="K1314" s="41"/>
      <c r="L1314" s="41"/>
      <c r="M1314" s="41"/>
      <c r="N1314" s="41"/>
      <c r="O1314" s="41"/>
      <c r="P1314" s="41"/>
      <c r="Q1314" s="41"/>
      <c r="R1314" s="41"/>
      <c r="S1314" s="41"/>
    </row>
    <row r="1315" spans="1:19" x14ac:dyDescent="0.3">
      <c r="A1315" s="41"/>
      <c r="B1315" s="41"/>
      <c r="C1315" s="41"/>
      <c r="D1315" s="41"/>
      <c r="E1315" s="41"/>
      <c r="F1315" s="41"/>
      <c r="G1315" s="41"/>
      <c r="H1315" s="41"/>
      <c r="I1315" s="41"/>
      <c r="J1315" s="41"/>
      <c r="K1315" s="41"/>
      <c r="L1315" s="41"/>
      <c r="M1315" s="41"/>
      <c r="N1315" s="41"/>
      <c r="O1315" s="41"/>
      <c r="P1315" s="41"/>
      <c r="Q1315" s="41"/>
      <c r="R1315" s="41"/>
      <c r="S1315" s="41"/>
    </row>
    <row r="1316" spans="1:19" x14ac:dyDescent="0.3">
      <c r="A1316" s="41"/>
      <c r="B1316" s="41"/>
      <c r="C1316" s="41"/>
      <c r="D1316" s="41"/>
      <c r="E1316" s="41"/>
      <c r="F1316" s="41"/>
      <c r="G1316" s="41"/>
      <c r="H1316" s="41"/>
      <c r="I1316" s="41"/>
      <c r="J1316" s="41"/>
      <c r="K1316" s="41"/>
      <c r="L1316" s="41"/>
      <c r="M1316" s="41"/>
      <c r="N1316" s="41"/>
      <c r="O1316" s="41"/>
      <c r="P1316" s="41"/>
      <c r="Q1316" s="41"/>
      <c r="R1316" s="41"/>
      <c r="S1316" s="41"/>
    </row>
    <row r="1317" spans="1:19" x14ac:dyDescent="0.3">
      <c r="A1317" s="41"/>
      <c r="B1317" s="41"/>
      <c r="C1317" s="41"/>
      <c r="D1317" s="41"/>
      <c r="E1317" s="41"/>
      <c r="F1317" s="41"/>
      <c r="G1317" s="41"/>
      <c r="H1317" s="41"/>
      <c r="I1317" s="41"/>
      <c r="J1317" s="41"/>
      <c r="K1317" s="41"/>
      <c r="L1317" s="41"/>
      <c r="M1317" s="41"/>
      <c r="N1317" s="41"/>
      <c r="O1317" s="41"/>
      <c r="P1317" s="41"/>
      <c r="Q1317" s="41"/>
      <c r="R1317" s="41"/>
      <c r="S1317" s="41"/>
    </row>
    <row r="1318" spans="1:19" x14ac:dyDescent="0.3">
      <c r="A1318" s="41"/>
      <c r="B1318" s="41"/>
      <c r="C1318" s="41"/>
      <c r="D1318" s="41"/>
      <c r="E1318" s="41"/>
      <c r="F1318" s="41"/>
      <c r="G1318" s="41"/>
      <c r="H1318" s="41"/>
      <c r="I1318" s="41"/>
      <c r="J1318" s="41"/>
      <c r="K1318" s="41"/>
      <c r="L1318" s="41"/>
      <c r="M1318" s="41"/>
      <c r="N1318" s="41"/>
      <c r="O1318" s="41"/>
      <c r="P1318" s="41"/>
      <c r="Q1318" s="41"/>
      <c r="R1318" s="41"/>
      <c r="S1318" s="41"/>
    </row>
    <row r="1319" spans="1:19" x14ac:dyDescent="0.3">
      <c r="A1319" s="41"/>
      <c r="B1319" s="41"/>
      <c r="C1319" s="41"/>
      <c r="D1319" s="41"/>
      <c r="E1319" s="41"/>
      <c r="F1319" s="41"/>
      <c r="G1319" s="41"/>
      <c r="H1319" s="41"/>
      <c r="I1319" s="41"/>
      <c r="J1319" s="41"/>
      <c r="K1319" s="41"/>
      <c r="L1319" s="41"/>
      <c r="M1319" s="41"/>
      <c r="N1319" s="41"/>
      <c r="O1319" s="41"/>
      <c r="P1319" s="41"/>
      <c r="Q1319" s="41"/>
      <c r="R1319" s="41"/>
      <c r="S1319" s="41"/>
    </row>
    <row r="1320" spans="1:19" x14ac:dyDescent="0.3">
      <c r="A1320" s="41"/>
      <c r="B1320" s="41"/>
      <c r="C1320" s="41"/>
      <c r="D1320" s="41"/>
      <c r="E1320" s="41"/>
      <c r="F1320" s="41"/>
      <c r="G1320" s="41"/>
      <c r="H1320" s="41"/>
      <c r="I1320" s="41"/>
      <c r="J1320" s="41"/>
      <c r="K1320" s="41"/>
      <c r="L1320" s="41"/>
      <c r="M1320" s="41"/>
      <c r="N1320" s="41"/>
      <c r="O1320" s="41"/>
      <c r="P1320" s="41"/>
      <c r="Q1320" s="41"/>
      <c r="R1320" s="41"/>
      <c r="S1320" s="41"/>
    </row>
    <row r="1321" spans="1:19" x14ac:dyDescent="0.3">
      <c r="A1321" s="41"/>
      <c r="B1321" s="41"/>
      <c r="C1321" s="41"/>
      <c r="D1321" s="41"/>
      <c r="E1321" s="41"/>
      <c r="F1321" s="41"/>
      <c r="G1321" s="41"/>
      <c r="H1321" s="41"/>
      <c r="I1321" s="41"/>
      <c r="J1321" s="41"/>
      <c r="K1321" s="41"/>
      <c r="L1321" s="41"/>
      <c r="M1321" s="41"/>
      <c r="N1321" s="41"/>
      <c r="O1321" s="41"/>
      <c r="P1321" s="41"/>
      <c r="Q1321" s="41"/>
      <c r="R1321" s="41"/>
      <c r="S1321" s="41"/>
    </row>
    <row r="1322" spans="1:19" x14ac:dyDescent="0.3">
      <c r="A1322" s="41"/>
      <c r="B1322" s="41"/>
      <c r="C1322" s="41"/>
      <c r="D1322" s="41"/>
      <c r="E1322" s="41"/>
      <c r="F1322" s="41"/>
      <c r="G1322" s="41"/>
      <c r="H1322" s="41"/>
      <c r="I1322" s="41"/>
      <c r="J1322" s="41"/>
      <c r="K1322" s="41"/>
      <c r="L1322" s="41"/>
      <c r="M1322" s="41"/>
      <c r="N1322" s="41"/>
      <c r="O1322" s="41"/>
      <c r="P1322" s="41"/>
      <c r="Q1322" s="41"/>
      <c r="R1322" s="41"/>
      <c r="S1322" s="41"/>
    </row>
    <row r="1323" spans="1:19" x14ac:dyDescent="0.3">
      <c r="A1323" s="41"/>
      <c r="B1323" s="41"/>
      <c r="C1323" s="41"/>
      <c r="D1323" s="41"/>
      <c r="E1323" s="41"/>
      <c r="F1323" s="41"/>
      <c r="G1323" s="41"/>
      <c r="H1323" s="41"/>
      <c r="I1323" s="41"/>
      <c r="J1323" s="41"/>
      <c r="K1323" s="41"/>
      <c r="L1323" s="41"/>
      <c r="M1323" s="41"/>
      <c r="N1323" s="41"/>
      <c r="O1323" s="41"/>
      <c r="P1323" s="41"/>
      <c r="Q1323" s="41"/>
      <c r="R1323" s="41"/>
      <c r="S1323" s="41"/>
    </row>
    <row r="1324" spans="1:19" x14ac:dyDescent="0.3">
      <c r="A1324" s="41"/>
      <c r="B1324" s="41"/>
      <c r="C1324" s="41"/>
      <c r="D1324" s="41"/>
      <c r="E1324" s="41"/>
      <c r="F1324" s="41"/>
      <c r="G1324" s="41"/>
      <c r="H1324" s="41"/>
      <c r="I1324" s="41"/>
      <c r="J1324" s="41"/>
      <c r="K1324" s="41"/>
      <c r="L1324" s="41"/>
      <c r="M1324" s="41"/>
      <c r="N1324" s="41"/>
      <c r="O1324" s="41"/>
      <c r="P1324" s="41"/>
      <c r="Q1324" s="41"/>
      <c r="R1324" s="41"/>
      <c r="S1324" s="41"/>
    </row>
    <row r="1325" spans="1:19" x14ac:dyDescent="0.3">
      <c r="A1325" s="41"/>
      <c r="B1325" s="41"/>
      <c r="C1325" s="41"/>
      <c r="D1325" s="41"/>
      <c r="E1325" s="41"/>
      <c r="F1325" s="41"/>
      <c r="G1325" s="41"/>
      <c r="H1325" s="41"/>
      <c r="I1325" s="41"/>
      <c r="J1325" s="41"/>
      <c r="K1325" s="41"/>
      <c r="L1325" s="41"/>
      <c r="M1325" s="41"/>
      <c r="N1325" s="41"/>
      <c r="O1325" s="41"/>
      <c r="P1325" s="41"/>
      <c r="Q1325" s="41"/>
      <c r="R1325" s="41"/>
      <c r="S1325" s="41"/>
    </row>
    <row r="1326" spans="1:19" x14ac:dyDescent="0.3">
      <c r="A1326" s="41"/>
      <c r="B1326" s="41"/>
      <c r="C1326" s="41"/>
      <c r="D1326" s="41"/>
      <c r="E1326" s="41"/>
      <c r="F1326" s="41"/>
      <c r="G1326" s="41"/>
      <c r="H1326" s="41"/>
      <c r="I1326" s="41"/>
      <c r="J1326" s="41"/>
      <c r="K1326" s="41"/>
      <c r="L1326" s="41"/>
      <c r="M1326" s="41"/>
      <c r="N1326" s="41"/>
      <c r="O1326" s="41"/>
      <c r="P1326" s="41"/>
      <c r="Q1326" s="41"/>
      <c r="R1326" s="41"/>
      <c r="S1326" s="41"/>
    </row>
    <row r="1327" spans="1:19" x14ac:dyDescent="0.3">
      <c r="A1327" s="41"/>
      <c r="B1327" s="41"/>
      <c r="C1327" s="41"/>
      <c r="D1327" s="41"/>
      <c r="E1327" s="41"/>
      <c r="F1327" s="41"/>
      <c r="G1327" s="41"/>
      <c r="H1327" s="41"/>
      <c r="I1327" s="41"/>
      <c r="J1327" s="41"/>
      <c r="K1327" s="41"/>
      <c r="L1327" s="41"/>
      <c r="M1327" s="41"/>
      <c r="N1327" s="41"/>
      <c r="O1327" s="41"/>
      <c r="P1327" s="41"/>
      <c r="Q1327" s="41"/>
      <c r="R1327" s="41"/>
      <c r="S1327" s="41"/>
    </row>
    <row r="1328" spans="1:19" x14ac:dyDescent="0.3">
      <c r="A1328" s="41"/>
      <c r="B1328" s="41"/>
      <c r="C1328" s="41"/>
      <c r="D1328" s="41"/>
      <c r="E1328" s="41"/>
      <c r="F1328" s="41"/>
      <c r="G1328" s="41"/>
      <c r="H1328" s="41"/>
      <c r="I1328" s="41"/>
      <c r="J1328" s="41"/>
      <c r="K1328" s="41"/>
      <c r="L1328" s="41"/>
      <c r="M1328" s="41"/>
      <c r="N1328" s="41"/>
      <c r="O1328" s="41"/>
      <c r="P1328" s="41"/>
      <c r="Q1328" s="41"/>
      <c r="R1328" s="41"/>
      <c r="S1328" s="41"/>
    </row>
    <row r="1329" spans="1:19" x14ac:dyDescent="0.3">
      <c r="A1329" s="41"/>
      <c r="B1329" s="41"/>
      <c r="C1329" s="41"/>
      <c r="D1329" s="41"/>
      <c r="E1329" s="41"/>
      <c r="F1329" s="41"/>
      <c r="G1329" s="41"/>
      <c r="H1329" s="41"/>
      <c r="I1329" s="41"/>
      <c r="J1329" s="41"/>
      <c r="K1329" s="41"/>
      <c r="L1329" s="41"/>
      <c r="M1329" s="41"/>
      <c r="N1329" s="41"/>
      <c r="O1329" s="41"/>
      <c r="P1329" s="41"/>
      <c r="Q1329" s="41"/>
      <c r="R1329" s="41"/>
      <c r="S1329" s="41"/>
    </row>
    <row r="1330" spans="1:19" x14ac:dyDescent="0.3">
      <c r="A1330" s="41"/>
      <c r="B1330" s="41"/>
      <c r="C1330" s="41"/>
      <c r="D1330" s="41"/>
      <c r="E1330" s="41"/>
      <c r="F1330" s="41"/>
      <c r="G1330" s="41"/>
      <c r="H1330" s="41"/>
      <c r="I1330" s="41"/>
      <c r="J1330" s="41"/>
      <c r="K1330" s="41"/>
      <c r="L1330" s="41"/>
      <c r="M1330" s="41"/>
      <c r="N1330" s="41"/>
      <c r="O1330" s="41"/>
      <c r="P1330" s="41"/>
      <c r="Q1330" s="41"/>
      <c r="R1330" s="41"/>
      <c r="S1330" s="41"/>
    </row>
    <row r="1331" spans="1:19" x14ac:dyDescent="0.3">
      <c r="A1331" s="41"/>
      <c r="B1331" s="41"/>
      <c r="C1331" s="41"/>
      <c r="D1331" s="41"/>
      <c r="E1331" s="41"/>
      <c r="F1331" s="41"/>
      <c r="G1331" s="41"/>
      <c r="H1331" s="41"/>
      <c r="I1331" s="41"/>
      <c r="J1331" s="41"/>
      <c r="K1331" s="41"/>
      <c r="L1331" s="41"/>
      <c r="M1331" s="41"/>
      <c r="N1331" s="41"/>
      <c r="O1331" s="41"/>
      <c r="P1331" s="41"/>
      <c r="Q1331" s="41"/>
      <c r="R1331" s="41"/>
      <c r="S1331" s="41"/>
    </row>
    <row r="1332" spans="1:19" x14ac:dyDescent="0.3">
      <c r="A1332" s="41"/>
      <c r="B1332" s="41"/>
      <c r="C1332" s="41"/>
      <c r="D1332" s="41"/>
      <c r="E1332" s="41"/>
      <c r="F1332" s="41"/>
      <c r="G1332" s="41"/>
      <c r="H1332" s="41"/>
      <c r="I1332" s="41"/>
      <c r="J1332" s="41"/>
      <c r="K1332" s="41"/>
      <c r="L1332" s="41"/>
      <c r="M1332" s="41"/>
      <c r="N1332" s="41"/>
      <c r="O1332" s="41"/>
      <c r="P1332" s="41"/>
      <c r="Q1332" s="41"/>
      <c r="R1332" s="41"/>
      <c r="S1332" s="41"/>
    </row>
    <row r="1333" spans="1:19" x14ac:dyDescent="0.3">
      <c r="A1333" s="41"/>
      <c r="B1333" s="41"/>
      <c r="C1333" s="41"/>
      <c r="D1333" s="41"/>
      <c r="E1333" s="41"/>
      <c r="F1333" s="41"/>
      <c r="G1333" s="41"/>
      <c r="H1333" s="41"/>
      <c r="I1333" s="41"/>
      <c r="J1333" s="41"/>
      <c r="K1333" s="41"/>
      <c r="L1333" s="41"/>
      <c r="M1333" s="41"/>
      <c r="N1333" s="41"/>
      <c r="O1333" s="41"/>
      <c r="P1333" s="41"/>
      <c r="Q1333" s="41"/>
      <c r="R1333" s="41"/>
      <c r="S1333" s="41"/>
    </row>
    <row r="1334" spans="1:19" x14ac:dyDescent="0.3">
      <c r="A1334" s="41"/>
      <c r="B1334" s="41"/>
      <c r="C1334" s="41"/>
      <c r="D1334" s="41"/>
      <c r="E1334" s="41"/>
      <c r="F1334" s="41"/>
      <c r="G1334" s="41"/>
      <c r="H1334" s="41"/>
      <c r="I1334" s="41"/>
      <c r="J1334" s="41"/>
      <c r="K1334" s="41"/>
      <c r="L1334" s="41"/>
      <c r="M1334" s="41"/>
      <c r="N1334" s="41"/>
      <c r="O1334" s="41"/>
      <c r="P1334" s="41"/>
      <c r="Q1334" s="41"/>
      <c r="R1334" s="41"/>
      <c r="S1334" s="41"/>
    </row>
    <row r="1335" spans="1:19" x14ac:dyDescent="0.3">
      <c r="A1335" s="41"/>
      <c r="B1335" s="41"/>
      <c r="C1335" s="41"/>
      <c r="D1335" s="41"/>
      <c r="E1335" s="41"/>
      <c r="F1335" s="41"/>
      <c r="G1335" s="41"/>
      <c r="H1335" s="41"/>
      <c r="I1335" s="41"/>
      <c r="J1335" s="41"/>
      <c r="K1335" s="41"/>
      <c r="L1335" s="41"/>
      <c r="M1335" s="41"/>
      <c r="N1335" s="41"/>
      <c r="O1335" s="41"/>
      <c r="P1335" s="41"/>
      <c r="Q1335" s="41"/>
      <c r="R1335" s="41"/>
      <c r="S1335" s="41"/>
    </row>
    <row r="1336" spans="1:19" x14ac:dyDescent="0.3">
      <c r="A1336" s="41"/>
      <c r="B1336" s="41"/>
      <c r="C1336" s="41"/>
      <c r="D1336" s="41"/>
      <c r="E1336" s="41"/>
      <c r="F1336" s="41"/>
      <c r="G1336" s="41"/>
      <c r="H1336" s="41"/>
      <c r="I1336" s="41"/>
      <c r="J1336" s="41"/>
      <c r="K1336" s="41"/>
      <c r="L1336" s="41"/>
      <c r="M1336" s="41"/>
      <c r="N1336" s="41"/>
      <c r="O1336" s="41"/>
      <c r="P1336" s="41"/>
      <c r="Q1336" s="41"/>
      <c r="R1336" s="41"/>
      <c r="S1336" s="41"/>
    </row>
    <row r="1337" spans="1:19" x14ac:dyDescent="0.3">
      <c r="A1337" s="41"/>
      <c r="B1337" s="41"/>
      <c r="C1337" s="41"/>
      <c r="D1337" s="41"/>
      <c r="E1337" s="41"/>
      <c r="F1337" s="41"/>
      <c r="G1337" s="41"/>
      <c r="H1337" s="41"/>
      <c r="I1337" s="41"/>
      <c r="J1337" s="41"/>
      <c r="K1337" s="41"/>
      <c r="L1337" s="41"/>
      <c r="M1337" s="41"/>
      <c r="N1337" s="41"/>
      <c r="O1337" s="41"/>
      <c r="P1337" s="41"/>
      <c r="Q1337" s="41"/>
      <c r="R1337" s="41"/>
      <c r="S1337" s="41"/>
    </row>
    <row r="1338" spans="1:19" x14ac:dyDescent="0.3">
      <c r="A1338" s="41"/>
      <c r="B1338" s="41"/>
      <c r="C1338" s="41"/>
      <c r="D1338" s="41"/>
      <c r="E1338" s="41"/>
      <c r="F1338" s="41"/>
      <c r="G1338" s="41"/>
      <c r="H1338" s="41"/>
      <c r="I1338" s="41"/>
      <c r="J1338" s="41"/>
      <c r="K1338" s="41"/>
      <c r="L1338" s="41"/>
      <c r="M1338" s="41"/>
      <c r="N1338" s="41"/>
      <c r="O1338" s="41"/>
      <c r="P1338" s="41"/>
      <c r="Q1338" s="41"/>
      <c r="R1338" s="41"/>
      <c r="S1338" s="41"/>
    </row>
    <row r="1339" spans="1:19" x14ac:dyDescent="0.3">
      <c r="A1339" s="41"/>
      <c r="B1339" s="41"/>
      <c r="C1339" s="41"/>
      <c r="D1339" s="41"/>
      <c r="E1339" s="41"/>
      <c r="F1339" s="41"/>
      <c r="G1339" s="41"/>
      <c r="H1339" s="41"/>
      <c r="I1339" s="41"/>
      <c r="J1339" s="41"/>
      <c r="K1339" s="41"/>
      <c r="L1339" s="41"/>
      <c r="M1339" s="41"/>
      <c r="N1339" s="41"/>
      <c r="O1339" s="41"/>
      <c r="P1339" s="41"/>
      <c r="Q1339" s="41"/>
      <c r="R1339" s="41"/>
      <c r="S1339" s="41"/>
    </row>
    <row r="1340" spans="1:19" x14ac:dyDescent="0.3">
      <c r="A1340" s="41"/>
      <c r="B1340" s="41"/>
      <c r="C1340" s="41"/>
      <c r="D1340" s="41"/>
      <c r="E1340" s="41"/>
      <c r="F1340" s="41"/>
      <c r="G1340" s="41"/>
      <c r="H1340" s="41"/>
      <c r="I1340" s="41"/>
      <c r="J1340" s="41"/>
      <c r="K1340" s="41"/>
      <c r="L1340" s="41"/>
      <c r="M1340" s="41"/>
      <c r="N1340" s="41"/>
      <c r="O1340" s="41"/>
      <c r="P1340" s="41"/>
      <c r="Q1340" s="41"/>
      <c r="R1340" s="41"/>
      <c r="S1340" s="41"/>
    </row>
    <row r="1341" spans="1:19" x14ac:dyDescent="0.3">
      <c r="A1341" s="41"/>
      <c r="B1341" s="41"/>
      <c r="C1341" s="41"/>
      <c r="D1341" s="41"/>
      <c r="E1341" s="41"/>
      <c r="F1341" s="41"/>
      <c r="G1341" s="41"/>
      <c r="H1341" s="41"/>
      <c r="I1341" s="41"/>
      <c r="J1341" s="41"/>
      <c r="K1341" s="41"/>
      <c r="L1341" s="41"/>
      <c r="M1341" s="41"/>
      <c r="N1341" s="41"/>
      <c r="O1341" s="41"/>
      <c r="P1341" s="41"/>
      <c r="Q1341" s="41"/>
      <c r="R1341" s="41"/>
      <c r="S1341" s="41"/>
    </row>
    <row r="1342" spans="1:19" x14ac:dyDescent="0.3">
      <c r="A1342" s="41"/>
      <c r="B1342" s="41"/>
      <c r="C1342" s="41"/>
      <c r="D1342" s="41"/>
      <c r="E1342" s="41"/>
      <c r="F1342" s="41"/>
      <c r="G1342" s="41"/>
      <c r="H1342" s="41"/>
      <c r="I1342" s="41"/>
      <c r="J1342" s="41"/>
      <c r="K1342" s="41"/>
      <c r="L1342" s="41"/>
      <c r="M1342" s="41"/>
      <c r="N1342" s="41"/>
      <c r="O1342" s="41"/>
      <c r="P1342" s="41"/>
      <c r="Q1342" s="41"/>
      <c r="R1342" s="41"/>
      <c r="S1342" s="41"/>
    </row>
    <row r="1343" spans="1:19" x14ac:dyDescent="0.3">
      <c r="A1343" s="41"/>
      <c r="B1343" s="41"/>
      <c r="C1343" s="41"/>
      <c r="D1343" s="41"/>
      <c r="E1343" s="41"/>
      <c r="F1343" s="41"/>
      <c r="G1343" s="41"/>
      <c r="H1343" s="41"/>
      <c r="I1343" s="41"/>
      <c r="J1343" s="41"/>
      <c r="K1343" s="41"/>
      <c r="L1343" s="41"/>
      <c r="M1343" s="41"/>
      <c r="N1343" s="41"/>
      <c r="O1343" s="41"/>
      <c r="P1343" s="41"/>
      <c r="Q1343" s="41"/>
      <c r="R1343" s="41"/>
      <c r="S1343" s="41"/>
    </row>
    <row r="1344" spans="1:19" x14ac:dyDescent="0.3">
      <c r="A1344" s="41"/>
      <c r="B1344" s="41"/>
      <c r="C1344" s="41"/>
      <c r="D1344" s="41"/>
      <c r="E1344" s="41"/>
      <c r="F1344" s="41"/>
      <c r="G1344" s="41"/>
      <c r="H1344" s="41"/>
      <c r="I1344" s="41"/>
      <c r="J1344" s="41"/>
      <c r="K1344" s="41"/>
      <c r="L1344" s="41"/>
      <c r="M1344" s="41"/>
      <c r="N1344" s="41"/>
      <c r="O1344" s="41"/>
      <c r="P1344" s="41"/>
      <c r="Q1344" s="41"/>
      <c r="R1344" s="41"/>
      <c r="S1344" s="41"/>
    </row>
    <row r="1345" spans="1:19" x14ac:dyDescent="0.3">
      <c r="A1345" s="41"/>
      <c r="B1345" s="41"/>
      <c r="C1345" s="41"/>
      <c r="D1345" s="41"/>
      <c r="E1345" s="41"/>
      <c r="F1345" s="41"/>
      <c r="G1345" s="41"/>
      <c r="H1345" s="41"/>
      <c r="I1345" s="41"/>
      <c r="J1345" s="41"/>
      <c r="K1345" s="41"/>
      <c r="L1345" s="41"/>
      <c r="M1345" s="41"/>
      <c r="N1345" s="41"/>
      <c r="O1345" s="41"/>
      <c r="P1345" s="41"/>
      <c r="Q1345" s="41"/>
      <c r="R1345" s="41"/>
      <c r="S1345" s="41"/>
    </row>
    <row r="1346" spans="1:19" x14ac:dyDescent="0.3">
      <c r="A1346" s="41"/>
      <c r="B1346" s="41"/>
      <c r="C1346" s="41"/>
      <c r="D1346" s="41"/>
      <c r="E1346" s="41"/>
      <c r="F1346" s="41"/>
      <c r="G1346" s="41"/>
      <c r="H1346" s="41"/>
      <c r="I1346" s="41"/>
      <c r="J1346" s="41"/>
      <c r="K1346" s="41"/>
      <c r="L1346" s="41"/>
      <c r="M1346" s="41"/>
      <c r="N1346" s="41"/>
      <c r="O1346" s="41"/>
      <c r="P1346" s="41"/>
      <c r="Q1346" s="41"/>
      <c r="R1346" s="41"/>
      <c r="S1346" s="41"/>
    </row>
    <row r="1347" spans="1:19" x14ac:dyDescent="0.3">
      <c r="A1347" s="41"/>
      <c r="B1347" s="41"/>
      <c r="C1347" s="41"/>
      <c r="D1347" s="41"/>
      <c r="E1347" s="41"/>
      <c r="F1347" s="41"/>
      <c r="G1347" s="41"/>
      <c r="H1347" s="41"/>
      <c r="I1347" s="41"/>
      <c r="J1347" s="41"/>
      <c r="K1347" s="41"/>
      <c r="L1347" s="41"/>
      <c r="M1347" s="41"/>
      <c r="N1347" s="41"/>
      <c r="O1347" s="41"/>
      <c r="P1347" s="41"/>
      <c r="Q1347" s="41"/>
      <c r="R1347" s="41"/>
      <c r="S1347" s="41"/>
    </row>
    <row r="1348" spans="1:19" x14ac:dyDescent="0.3">
      <c r="A1348" s="41"/>
      <c r="B1348" s="41"/>
      <c r="C1348" s="41"/>
      <c r="D1348" s="41"/>
      <c r="E1348" s="41"/>
      <c r="F1348" s="41"/>
      <c r="G1348" s="41"/>
      <c r="H1348" s="41"/>
      <c r="I1348" s="41"/>
      <c r="J1348" s="41"/>
      <c r="K1348" s="41"/>
      <c r="L1348" s="41"/>
      <c r="M1348" s="41"/>
      <c r="N1348" s="41"/>
      <c r="O1348" s="41"/>
      <c r="P1348" s="41"/>
      <c r="Q1348" s="41"/>
      <c r="R1348" s="41"/>
      <c r="S1348" s="41"/>
    </row>
    <row r="1349" spans="1:19" x14ac:dyDescent="0.3">
      <c r="A1349" s="41"/>
      <c r="B1349" s="41"/>
      <c r="C1349" s="41"/>
      <c r="D1349" s="41"/>
      <c r="E1349" s="41"/>
      <c r="F1349" s="41"/>
      <c r="G1349" s="41"/>
      <c r="H1349" s="41"/>
      <c r="I1349" s="41"/>
      <c r="J1349" s="41"/>
      <c r="K1349" s="41"/>
      <c r="L1349" s="41"/>
      <c r="M1349" s="41"/>
      <c r="N1349" s="41"/>
      <c r="O1349" s="41"/>
      <c r="P1349" s="41"/>
      <c r="Q1349" s="41"/>
      <c r="R1349" s="41"/>
      <c r="S1349" s="41"/>
    </row>
    <row r="1350" spans="1:19" x14ac:dyDescent="0.3">
      <c r="A1350" s="41"/>
      <c r="B1350" s="41"/>
      <c r="C1350" s="41"/>
      <c r="D1350" s="41"/>
      <c r="E1350" s="41"/>
      <c r="F1350" s="41"/>
      <c r="G1350" s="41"/>
      <c r="H1350" s="41"/>
      <c r="I1350" s="41"/>
      <c r="J1350" s="41"/>
      <c r="K1350" s="41"/>
      <c r="L1350" s="41"/>
      <c r="M1350" s="41"/>
      <c r="N1350" s="41"/>
      <c r="O1350" s="41"/>
      <c r="P1350" s="41"/>
      <c r="Q1350" s="41"/>
      <c r="R1350" s="41"/>
      <c r="S1350" s="41"/>
    </row>
    <row r="1351" spans="1:19" x14ac:dyDescent="0.3">
      <c r="A1351" s="41"/>
      <c r="B1351" s="41"/>
      <c r="C1351" s="41"/>
      <c r="D1351" s="41"/>
      <c r="E1351" s="41"/>
      <c r="F1351" s="41"/>
      <c r="G1351" s="41"/>
      <c r="H1351" s="41"/>
      <c r="I1351" s="41"/>
      <c r="J1351" s="41"/>
      <c r="K1351" s="41"/>
      <c r="L1351" s="41"/>
      <c r="M1351" s="41"/>
      <c r="N1351" s="41"/>
      <c r="O1351" s="41"/>
      <c r="P1351" s="41"/>
      <c r="Q1351" s="41"/>
      <c r="R1351" s="41"/>
      <c r="S1351" s="41"/>
    </row>
    <row r="1352" spans="1:19" x14ac:dyDescent="0.3">
      <c r="A1352" s="41"/>
      <c r="B1352" s="41"/>
      <c r="C1352" s="41"/>
      <c r="D1352" s="41"/>
      <c r="E1352" s="41"/>
      <c r="F1352" s="41"/>
      <c r="G1352" s="41"/>
      <c r="H1352" s="41"/>
      <c r="I1352" s="41"/>
      <c r="J1352" s="41"/>
      <c r="K1352" s="41"/>
      <c r="L1352" s="41"/>
      <c r="M1352" s="41"/>
      <c r="N1352" s="41"/>
      <c r="O1352" s="41"/>
      <c r="P1352" s="41"/>
      <c r="Q1352" s="41"/>
      <c r="R1352" s="41"/>
      <c r="S1352" s="41"/>
    </row>
    <row r="1353" spans="1:19" x14ac:dyDescent="0.3">
      <c r="A1353" s="41"/>
      <c r="B1353" s="41"/>
      <c r="C1353" s="41"/>
      <c r="D1353" s="41"/>
      <c r="E1353" s="41"/>
      <c r="F1353" s="41"/>
      <c r="G1353" s="41"/>
      <c r="H1353" s="41"/>
      <c r="I1353" s="41"/>
      <c r="J1353" s="41"/>
      <c r="K1353" s="41"/>
      <c r="L1353" s="41"/>
      <c r="M1353" s="41"/>
      <c r="N1353" s="41"/>
      <c r="O1353" s="41"/>
      <c r="P1353" s="41"/>
      <c r="Q1353" s="41"/>
      <c r="R1353" s="41"/>
      <c r="S1353" s="41"/>
    </row>
    <row r="1354" spans="1:19" x14ac:dyDescent="0.3">
      <c r="A1354" s="41"/>
      <c r="B1354" s="41"/>
      <c r="C1354" s="41"/>
      <c r="D1354" s="41"/>
      <c r="E1354" s="41"/>
      <c r="F1354" s="41"/>
      <c r="G1354" s="41"/>
      <c r="H1354" s="41"/>
      <c r="I1354" s="41"/>
      <c r="J1354" s="41"/>
      <c r="K1354" s="41"/>
      <c r="L1354" s="41"/>
      <c r="M1354" s="41"/>
      <c r="N1354" s="41"/>
      <c r="O1354" s="41"/>
      <c r="P1354" s="41"/>
      <c r="Q1354" s="41"/>
      <c r="R1354" s="41"/>
      <c r="S1354" s="41"/>
    </row>
    <row r="1355" spans="1:19" x14ac:dyDescent="0.3">
      <c r="A1355" s="41"/>
      <c r="B1355" s="41"/>
      <c r="C1355" s="41"/>
      <c r="D1355" s="41"/>
      <c r="E1355" s="41"/>
      <c r="F1355" s="41"/>
      <c r="G1355" s="41"/>
      <c r="H1355" s="41"/>
      <c r="I1355" s="41"/>
      <c r="J1355" s="41"/>
      <c r="K1355" s="41"/>
      <c r="L1355" s="41"/>
      <c r="M1355" s="41"/>
      <c r="N1355" s="41"/>
      <c r="O1355" s="41"/>
      <c r="P1355" s="41"/>
      <c r="Q1355" s="41"/>
      <c r="R1355" s="41"/>
      <c r="S1355" s="41"/>
    </row>
    <row r="1356" spans="1:19" x14ac:dyDescent="0.3">
      <c r="A1356" s="41"/>
      <c r="B1356" s="41"/>
      <c r="C1356" s="41"/>
      <c r="D1356" s="41"/>
      <c r="E1356" s="41"/>
      <c r="F1356" s="41"/>
      <c r="G1356" s="41"/>
      <c r="H1356" s="41"/>
      <c r="I1356" s="41"/>
      <c r="J1356" s="41"/>
      <c r="K1356" s="41"/>
      <c r="L1356" s="41"/>
      <c r="M1356" s="41"/>
      <c r="N1356" s="41"/>
      <c r="O1356" s="41"/>
      <c r="P1356" s="41"/>
      <c r="Q1356" s="41"/>
      <c r="R1356" s="41"/>
      <c r="S1356" s="41"/>
    </row>
    <row r="1357" spans="1:19" x14ac:dyDescent="0.3">
      <c r="A1357" s="41"/>
      <c r="B1357" s="41"/>
      <c r="C1357" s="41"/>
      <c r="D1357" s="41"/>
      <c r="E1357" s="41"/>
      <c r="F1357" s="41"/>
      <c r="G1357" s="41"/>
      <c r="H1357" s="41"/>
      <c r="I1357" s="41"/>
      <c r="J1357" s="41"/>
      <c r="K1357" s="41"/>
      <c r="L1357" s="41"/>
      <c r="M1357" s="41"/>
      <c r="N1357" s="41"/>
      <c r="O1357" s="41"/>
      <c r="P1357" s="41"/>
      <c r="Q1357" s="41"/>
      <c r="R1357" s="41"/>
      <c r="S1357" s="41"/>
    </row>
    <row r="1358" spans="1:19" x14ac:dyDescent="0.3">
      <c r="A1358" s="41"/>
      <c r="B1358" s="41"/>
      <c r="C1358" s="41"/>
      <c r="D1358" s="41"/>
      <c r="E1358" s="41"/>
      <c r="F1358" s="41"/>
      <c r="G1358" s="41"/>
      <c r="H1358" s="41"/>
      <c r="I1358" s="41"/>
      <c r="J1358" s="41"/>
      <c r="K1358" s="41"/>
      <c r="L1358" s="41"/>
      <c r="M1358" s="41"/>
      <c r="N1358" s="41"/>
      <c r="O1358" s="41"/>
      <c r="P1358" s="41"/>
      <c r="Q1358" s="41"/>
      <c r="R1358" s="41"/>
      <c r="S1358" s="41"/>
    </row>
    <row r="1359" spans="1:19" x14ac:dyDescent="0.3">
      <c r="A1359" s="41"/>
      <c r="B1359" s="41"/>
      <c r="C1359" s="41"/>
      <c r="D1359" s="41"/>
      <c r="E1359" s="41"/>
      <c r="F1359" s="41"/>
      <c r="G1359" s="41"/>
      <c r="H1359" s="41"/>
      <c r="I1359" s="41"/>
      <c r="J1359" s="41"/>
      <c r="K1359" s="41"/>
      <c r="L1359" s="41"/>
      <c r="M1359" s="41"/>
      <c r="N1359" s="41"/>
      <c r="O1359" s="41"/>
      <c r="P1359" s="41"/>
      <c r="Q1359" s="41"/>
      <c r="R1359" s="41"/>
      <c r="S1359" s="41"/>
    </row>
    <row r="1360" spans="1:19" x14ac:dyDescent="0.3">
      <c r="A1360" s="41"/>
      <c r="B1360" s="41"/>
      <c r="C1360" s="41"/>
      <c r="D1360" s="41"/>
      <c r="E1360" s="41"/>
      <c r="F1360" s="41"/>
      <c r="G1360" s="41"/>
      <c r="H1360" s="41"/>
      <c r="I1360" s="41"/>
      <c r="J1360" s="41"/>
      <c r="K1360" s="41"/>
      <c r="L1360" s="41"/>
      <c r="M1360" s="41"/>
      <c r="N1360" s="41"/>
      <c r="O1360" s="41"/>
      <c r="P1360" s="41"/>
      <c r="Q1360" s="41"/>
      <c r="R1360" s="41"/>
      <c r="S1360" s="41"/>
    </row>
    <row r="1361" spans="1:19" x14ac:dyDescent="0.3">
      <c r="A1361" s="41"/>
      <c r="B1361" s="41"/>
      <c r="C1361" s="41"/>
      <c r="D1361" s="41"/>
      <c r="E1361" s="41"/>
      <c r="F1361" s="41"/>
      <c r="G1361" s="41"/>
      <c r="H1361" s="41"/>
      <c r="I1361" s="41"/>
      <c r="J1361" s="41"/>
      <c r="K1361" s="41"/>
      <c r="L1361" s="41"/>
      <c r="M1361" s="41"/>
      <c r="N1361" s="41"/>
      <c r="O1361" s="41"/>
      <c r="P1361" s="41"/>
      <c r="Q1361" s="41"/>
      <c r="R1361" s="41"/>
      <c r="S1361" s="41"/>
    </row>
    <row r="1362" spans="1:19" x14ac:dyDescent="0.3">
      <c r="A1362" s="41"/>
      <c r="B1362" s="41"/>
      <c r="C1362" s="41"/>
      <c r="D1362" s="41"/>
      <c r="E1362" s="41"/>
      <c r="F1362" s="41"/>
      <c r="G1362" s="41"/>
      <c r="H1362" s="41"/>
      <c r="I1362" s="41"/>
      <c r="J1362" s="41"/>
      <c r="K1362" s="41"/>
      <c r="L1362" s="41"/>
      <c r="M1362" s="41"/>
      <c r="N1362" s="41"/>
      <c r="O1362" s="41"/>
      <c r="P1362" s="41"/>
      <c r="Q1362" s="41"/>
      <c r="R1362" s="41"/>
      <c r="S1362" s="41"/>
    </row>
    <row r="1363" spans="1:19" x14ac:dyDescent="0.3">
      <c r="A1363" s="41"/>
      <c r="B1363" s="41"/>
      <c r="C1363" s="41"/>
      <c r="D1363" s="41"/>
      <c r="E1363" s="41"/>
      <c r="F1363" s="41"/>
      <c r="G1363" s="41"/>
      <c r="H1363" s="41"/>
      <c r="I1363" s="41"/>
      <c r="J1363" s="41"/>
      <c r="K1363" s="41"/>
      <c r="L1363" s="41"/>
      <c r="M1363" s="41"/>
      <c r="N1363" s="41"/>
      <c r="O1363" s="41"/>
      <c r="P1363" s="41"/>
      <c r="Q1363" s="41"/>
      <c r="R1363" s="41"/>
      <c r="S1363" s="41"/>
    </row>
    <row r="1364" spans="1:19" x14ac:dyDescent="0.3">
      <c r="A1364" s="41"/>
      <c r="B1364" s="41"/>
      <c r="C1364" s="41"/>
      <c r="D1364" s="41"/>
      <c r="E1364" s="41"/>
      <c r="F1364" s="41"/>
      <c r="G1364" s="41"/>
      <c r="H1364" s="41"/>
      <c r="I1364" s="41"/>
      <c r="J1364" s="41"/>
      <c r="K1364" s="41"/>
      <c r="L1364" s="41"/>
      <c r="M1364" s="41"/>
      <c r="N1364" s="41"/>
      <c r="O1364" s="41"/>
      <c r="P1364" s="41"/>
      <c r="Q1364" s="41"/>
      <c r="R1364" s="41"/>
      <c r="S1364" s="41"/>
    </row>
    <row r="1365" spans="1:19" x14ac:dyDescent="0.3">
      <c r="A1365" s="41"/>
      <c r="B1365" s="41"/>
      <c r="C1365" s="41"/>
      <c r="D1365" s="41"/>
      <c r="E1365" s="41"/>
      <c r="F1365" s="41"/>
      <c r="G1365" s="41"/>
      <c r="H1365" s="41"/>
      <c r="I1365" s="41"/>
      <c r="J1365" s="41"/>
      <c r="K1365" s="41"/>
      <c r="L1365" s="41"/>
      <c r="M1365" s="41"/>
      <c r="N1365" s="41"/>
      <c r="O1365" s="41"/>
      <c r="P1365" s="41"/>
      <c r="Q1365" s="41"/>
      <c r="R1365" s="41"/>
      <c r="S1365" s="41"/>
    </row>
    <row r="1366" spans="1:19" x14ac:dyDescent="0.3">
      <c r="A1366" s="41"/>
      <c r="B1366" s="41"/>
      <c r="C1366" s="41"/>
      <c r="D1366" s="41"/>
      <c r="E1366" s="41"/>
      <c r="F1366" s="41"/>
      <c r="G1366" s="41"/>
      <c r="H1366" s="41"/>
      <c r="I1366" s="41"/>
      <c r="J1366" s="41"/>
      <c r="K1366" s="41"/>
      <c r="L1366" s="41"/>
      <c r="M1366" s="41"/>
      <c r="N1366" s="41"/>
      <c r="O1366" s="41"/>
      <c r="P1366" s="41"/>
      <c r="Q1366" s="41"/>
      <c r="R1366" s="41"/>
      <c r="S1366" s="41"/>
    </row>
    <row r="1367" spans="1:19" x14ac:dyDescent="0.3">
      <c r="A1367" s="41"/>
      <c r="B1367" s="41"/>
      <c r="C1367" s="41"/>
      <c r="D1367" s="41"/>
      <c r="E1367" s="41"/>
      <c r="F1367" s="41"/>
      <c r="G1367" s="41"/>
      <c r="H1367" s="41"/>
      <c r="I1367" s="41"/>
      <c r="J1367" s="41"/>
      <c r="K1367" s="41"/>
      <c r="L1367" s="41"/>
      <c r="M1367" s="41"/>
      <c r="N1367" s="41"/>
      <c r="O1367" s="41"/>
      <c r="P1367" s="41"/>
      <c r="Q1367" s="41"/>
      <c r="R1367" s="41"/>
      <c r="S1367" s="41"/>
    </row>
    <row r="1368" spans="1:19" x14ac:dyDescent="0.3">
      <c r="A1368" s="41"/>
      <c r="B1368" s="41"/>
      <c r="C1368" s="41"/>
      <c r="D1368" s="41"/>
      <c r="E1368" s="41"/>
      <c r="F1368" s="41"/>
      <c r="G1368" s="41"/>
      <c r="H1368" s="41"/>
      <c r="I1368" s="41"/>
      <c r="J1368" s="41"/>
      <c r="K1368" s="41"/>
      <c r="L1368" s="41"/>
      <c r="M1368" s="41"/>
      <c r="N1368" s="41"/>
      <c r="O1368" s="41"/>
      <c r="P1368" s="41"/>
      <c r="Q1368" s="41"/>
      <c r="R1368" s="41"/>
      <c r="S1368" s="41"/>
    </row>
    <row r="1369" spans="1:19" x14ac:dyDescent="0.3">
      <c r="A1369" s="41"/>
      <c r="B1369" s="41"/>
      <c r="C1369" s="41"/>
      <c r="D1369" s="41"/>
      <c r="E1369" s="41"/>
      <c r="F1369" s="41"/>
      <c r="G1369" s="41"/>
      <c r="H1369" s="41"/>
      <c r="I1369" s="41"/>
      <c r="J1369" s="41"/>
      <c r="K1369" s="41"/>
      <c r="L1369" s="41"/>
      <c r="M1369" s="41"/>
      <c r="N1369" s="41"/>
      <c r="O1369" s="41"/>
      <c r="P1369" s="41"/>
      <c r="Q1369" s="41"/>
      <c r="R1369" s="41"/>
      <c r="S1369" s="41"/>
    </row>
    <row r="1370" spans="1:19" x14ac:dyDescent="0.3">
      <c r="A1370" s="41"/>
      <c r="B1370" s="41"/>
      <c r="C1370" s="41"/>
      <c r="D1370" s="41"/>
      <c r="E1370" s="41"/>
      <c r="F1370" s="41"/>
      <c r="G1370" s="41"/>
      <c r="H1370" s="41"/>
      <c r="I1370" s="41"/>
      <c r="J1370" s="41"/>
      <c r="K1370" s="41"/>
      <c r="L1370" s="41"/>
      <c r="M1370" s="41"/>
      <c r="N1370" s="41"/>
      <c r="O1370" s="41"/>
      <c r="P1370" s="41"/>
      <c r="Q1370" s="41"/>
      <c r="R1370" s="41"/>
      <c r="S1370" s="41"/>
    </row>
    <row r="1371" spans="1:19" x14ac:dyDescent="0.3">
      <c r="A1371" s="41"/>
      <c r="B1371" s="41"/>
      <c r="C1371" s="41"/>
      <c r="D1371" s="41"/>
      <c r="E1371" s="41"/>
      <c r="F1371" s="41"/>
      <c r="G1371" s="41"/>
      <c r="H1371" s="41"/>
      <c r="I1371" s="41"/>
      <c r="J1371" s="41"/>
      <c r="K1371" s="41"/>
      <c r="L1371" s="41"/>
      <c r="M1371" s="41"/>
      <c r="N1371" s="41"/>
      <c r="O1371" s="41"/>
      <c r="P1371" s="41"/>
      <c r="Q1371" s="41"/>
      <c r="R1371" s="41"/>
      <c r="S1371" s="41"/>
    </row>
    <row r="1372" spans="1:19" x14ac:dyDescent="0.3">
      <c r="A1372" s="41"/>
      <c r="B1372" s="41"/>
      <c r="C1372" s="41"/>
      <c r="D1372" s="41"/>
      <c r="E1372" s="41"/>
      <c r="F1372" s="41"/>
      <c r="G1372" s="41"/>
      <c r="H1372" s="41"/>
      <c r="I1372" s="41"/>
      <c r="J1372" s="41"/>
      <c r="K1372" s="41"/>
      <c r="L1372" s="41"/>
      <c r="M1372" s="41"/>
      <c r="N1372" s="41"/>
      <c r="O1372" s="41"/>
      <c r="P1372" s="41"/>
      <c r="Q1372" s="41"/>
      <c r="R1372" s="41"/>
      <c r="S1372" s="41"/>
    </row>
    <row r="1373" spans="1:19" x14ac:dyDescent="0.3">
      <c r="A1373" s="41"/>
      <c r="B1373" s="41"/>
      <c r="C1373" s="41"/>
      <c r="D1373" s="41"/>
      <c r="E1373" s="41"/>
      <c r="F1373" s="41"/>
      <c r="G1373" s="41"/>
      <c r="H1373" s="41"/>
      <c r="I1373" s="41"/>
      <c r="J1373" s="41"/>
      <c r="K1373" s="41"/>
      <c r="L1373" s="41"/>
      <c r="M1373" s="41"/>
      <c r="N1373" s="41"/>
      <c r="O1373" s="41"/>
      <c r="P1373" s="41"/>
      <c r="Q1373" s="41"/>
      <c r="R1373" s="41"/>
      <c r="S1373" s="41"/>
    </row>
    <row r="1374" spans="1:19" x14ac:dyDescent="0.3">
      <c r="A1374" s="41"/>
      <c r="B1374" s="41"/>
      <c r="C1374" s="41"/>
      <c r="D1374" s="41"/>
      <c r="E1374" s="41"/>
      <c r="F1374" s="41"/>
      <c r="G1374" s="41"/>
      <c r="H1374" s="41"/>
      <c r="I1374" s="41"/>
      <c r="J1374" s="41"/>
      <c r="K1374" s="41"/>
      <c r="L1374" s="41"/>
      <c r="M1374" s="41"/>
      <c r="N1374" s="41"/>
      <c r="O1374" s="41"/>
      <c r="P1374" s="41"/>
      <c r="Q1374" s="41"/>
      <c r="R1374" s="41"/>
      <c r="S1374" s="41"/>
    </row>
    <row r="1375" spans="1:19" x14ac:dyDescent="0.3">
      <c r="A1375" s="41"/>
      <c r="B1375" s="41"/>
      <c r="C1375" s="41"/>
      <c r="D1375" s="41"/>
      <c r="E1375" s="41"/>
      <c r="F1375" s="41"/>
      <c r="G1375" s="41"/>
      <c r="H1375" s="41"/>
      <c r="I1375" s="41"/>
      <c r="J1375" s="41"/>
      <c r="K1375" s="41"/>
      <c r="L1375" s="41"/>
      <c r="M1375" s="41"/>
      <c r="N1375" s="41"/>
      <c r="O1375" s="41"/>
      <c r="P1375" s="41"/>
      <c r="Q1375" s="41"/>
      <c r="R1375" s="41"/>
      <c r="S1375" s="41"/>
    </row>
    <row r="1376" spans="1:19" x14ac:dyDescent="0.3">
      <c r="A1376" s="41"/>
      <c r="B1376" s="41"/>
      <c r="C1376" s="41"/>
      <c r="D1376" s="41"/>
      <c r="E1376" s="41"/>
      <c r="F1376" s="41"/>
      <c r="G1376" s="41"/>
      <c r="H1376" s="41"/>
      <c r="I1376" s="41"/>
      <c r="J1376" s="41"/>
      <c r="K1376" s="41"/>
      <c r="L1376" s="41"/>
      <c r="M1376" s="41"/>
      <c r="N1376" s="41"/>
      <c r="O1376" s="41"/>
      <c r="P1376" s="41"/>
      <c r="Q1376" s="41"/>
      <c r="R1376" s="41"/>
      <c r="S1376" s="41"/>
    </row>
    <row r="1377" spans="1:19" x14ac:dyDescent="0.3">
      <c r="A1377" s="41"/>
      <c r="B1377" s="41"/>
      <c r="C1377" s="41"/>
      <c r="D1377" s="41"/>
      <c r="E1377" s="41"/>
      <c r="F1377" s="41"/>
      <c r="G1377" s="41"/>
      <c r="H1377" s="41"/>
      <c r="I1377" s="41"/>
      <c r="J1377" s="41"/>
      <c r="K1377" s="41"/>
      <c r="L1377" s="41"/>
      <c r="M1377" s="41"/>
      <c r="N1377" s="41"/>
      <c r="O1377" s="41"/>
      <c r="P1377" s="41"/>
      <c r="Q1377" s="41"/>
      <c r="R1377" s="41"/>
      <c r="S1377" s="41"/>
    </row>
    <row r="1378" spans="1:19" x14ac:dyDescent="0.3">
      <c r="A1378" s="41"/>
      <c r="B1378" s="41"/>
      <c r="C1378" s="41"/>
      <c r="D1378" s="41"/>
      <c r="E1378" s="41"/>
      <c r="F1378" s="41"/>
      <c r="G1378" s="41"/>
      <c r="H1378" s="41"/>
      <c r="I1378" s="41"/>
      <c r="J1378" s="41"/>
      <c r="K1378" s="41"/>
      <c r="L1378" s="41"/>
      <c r="M1378" s="41"/>
      <c r="N1378" s="41"/>
      <c r="O1378" s="41"/>
      <c r="P1378" s="41"/>
      <c r="Q1378" s="41"/>
      <c r="R1378" s="41"/>
      <c r="S1378" s="41"/>
    </row>
    <row r="1379" spans="1:19" x14ac:dyDescent="0.3">
      <c r="A1379" s="41"/>
      <c r="B1379" s="41"/>
      <c r="C1379" s="41"/>
      <c r="D1379" s="41"/>
      <c r="E1379" s="41"/>
      <c r="F1379" s="41"/>
      <c r="G1379" s="41"/>
      <c r="H1379" s="41"/>
      <c r="I1379" s="41"/>
      <c r="J1379" s="41"/>
      <c r="K1379" s="41"/>
      <c r="L1379" s="41"/>
      <c r="M1379" s="41"/>
      <c r="N1379" s="41"/>
      <c r="O1379" s="41"/>
      <c r="P1379" s="41"/>
      <c r="Q1379" s="41"/>
      <c r="R1379" s="41"/>
      <c r="S1379" s="41"/>
    </row>
    <row r="1380" spans="1:19" x14ac:dyDescent="0.3">
      <c r="A1380" s="41"/>
      <c r="B1380" s="41"/>
      <c r="C1380" s="41"/>
      <c r="D1380" s="41"/>
      <c r="E1380" s="41"/>
      <c r="F1380" s="41"/>
      <c r="G1380" s="41"/>
      <c r="H1380" s="41"/>
      <c r="I1380" s="41"/>
      <c r="J1380" s="41"/>
      <c r="K1380" s="41"/>
      <c r="L1380" s="41"/>
      <c r="M1380" s="41"/>
      <c r="N1380" s="41"/>
      <c r="O1380" s="41"/>
      <c r="P1380" s="41"/>
      <c r="Q1380" s="41"/>
      <c r="R1380" s="41"/>
      <c r="S1380" s="41"/>
    </row>
    <row r="1381" spans="1:19" x14ac:dyDescent="0.3">
      <c r="A1381" s="41"/>
      <c r="B1381" s="41"/>
      <c r="C1381" s="41"/>
      <c r="D1381" s="41"/>
      <c r="E1381" s="41"/>
      <c r="F1381" s="41"/>
      <c r="G1381" s="41"/>
      <c r="H1381" s="41"/>
      <c r="I1381" s="41"/>
      <c r="J1381" s="41"/>
      <c r="K1381" s="41"/>
      <c r="L1381" s="41"/>
      <c r="M1381" s="41"/>
      <c r="N1381" s="41"/>
      <c r="O1381" s="41"/>
      <c r="P1381" s="41"/>
      <c r="Q1381" s="41"/>
      <c r="R1381" s="41"/>
      <c r="S1381" s="41"/>
    </row>
    <row r="1382" spans="1:19" x14ac:dyDescent="0.3">
      <c r="A1382" s="41"/>
      <c r="B1382" s="41"/>
      <c r="C1382" s="41"/>
      <c r="D1382" s="41"/>
      <c r="E1382" s="41"/>
      <c r="F1382" s="41"/>
      <c r="G1382" s="41"/>
      <c r="H1382" s="41"/>
      <c r="I1382" s="41"/>
      <c r="J1382" s="41"/>
      <c r="K1382" s="41"/>
      <c r="L1382" s="41"/>
      <c r="M1382" s="41"/>
      <c r="N1382" s="41"/>
      <c r="O1382" s="41"/>
      <c r="P1382" s="41"/>
      <c r="Q1382" s="41"/>
      <c r="R1382" s="41"/>
      <c r="S1382" s="41"/>
    </row>
    <row r="1383" spans="1:19" x14ac:dyDescent="0.3">
      <c r="A1383" s="41"/>
      <c r="B1383" s="41"/>
      <c r="C1383" s="41"/>
      <c r="D1383" s="41"/>
      <c r="E1383" s="41"/>
      <c r="F1383" s="41"/>
      <c r="G1383" s="41"/>
      <c r="H1383" s="41"/>
      <c r="I1383" s="41"/>
      <c r="J1383" s="41"/>
      <c r="K1383" s="41"/>
      <c r="L1383" s="41"/>
      <c r="M1383" s="41"/>
      <c r="N1383" s="41"/>
      <c r="O1383" s="41"/>
      <c r="P1383" s="41"/>
      <c r="Q1383" s="41"/>
      <c r="R1383" s="41"/>
      <c r="S1383" s="41"/>
    </row>
    <row r="1384" spans="1:19" x14ac:dyDescent="0.3">
      <c r="A1384" s="41"/>
      <c r="B1384" s="41"/>
      <c r="C1384" s="41"/>
      <c r="D1384" s="41"/>
      <c r="E1384" s="41"/>
      <c r="F1384" s="41"/>
      <c r="G1384" s="41"/>
      <c r="H1384" s="41"/>
      <c r="I1384" s="41"/>
      <c r="J1384" s="41"/>
      <c r="K1384" s="41"/>
      <c r="L1384" s="41"/>
      <c r="M1384" s="41"/>
      <c r="N1384" s="41"/>
      <c r="O1384" s="41"/>
      <c r="P1384" s="41"/>
      <c r="Q1384" s="41"/>
      <c r="R1384" s="41"/>
      <c r="S1384" s="41"/>
    </row>
    <row r="1385" spans="1:19" x14ac:dyDescent="0.3">
      <c r="A1385" s="41"/>
      <c r="B1385" s="41"/>
      <c r="C1385" s="41"/>
      <c r="D1385" s="41"/>
      <c r="E1385" s="41"/>
      <c r="F1385" s="41"/>
      <c r="G1385" s="41"/>
      <c r="H1385" s="41"/>
      <c r="I1385" s="41"/>
      <c r="J1385" s="41"/>
      <c r="K1385" s="41"/>
      <c r="L1385" s="41"/>
      <c r="M1385" s="41"/>
      <c r="N1385" s="41"/>
      <c r="O1385" s="41"/>
      <c r="P1385" s="41"/>
      <c r="Q1385" s="41"/>
      <c r="R1385" s="41"/>
      <c r="S1385" s="41"/>
    </row>
    <row r="1386" spans="1:19" x14ac:dyDescent="0.3">
      <c r="A1386" s="41"/>
      <c r="B1386" s="41"/>
      <c r="C1386" s="41"/>
      <c r="D1386" s="41"/>
      <c r="E1386" s="41"/>
      <c r="F1386" s="41"/>
      <c r="G1386" s="41"/>
      <c r="H1386" s="41"/>
      <c r="I1386" s="41"/>
      <c r="J1386" s="41"/>
      <c r="K1386" s="41"/>
      <c r="L1386" s="41"/>
      <c r="M1386" s="41"/>
      <c r="N1386" s="41"/>
      <c r="O1386" s="41"/>
      <c r="P1386" s="41"/>
      <c r="Q1386" s="41"/>
      <c r="R1386" s="41"/>
      <c r="S1386" s="41"/>
    </row>
    <row r="1387" spans="1:19" x14ac:dyDescent="0.3">
      <c r="A1387" s="41"/>
      <c r="B1387" s="41"/>
      <c r="C1387" s="41"/>
      <c r="D1387" s="41"/>
      <c r="E1387" s="41"/>
      <c r="F1387" s="41"/>
      <c r="G1387" s="41"/>
      <c r="H1387" s="41"/>
      <c r="I1387" s="41"/>
      <c r="J1387" s="41"/>
      <c r="K1387" s="41"/>
      <c r="L1387" s="41"/>
      <c r="M1387" s="41"/>
      <c r="N1387" s="41"/>
      <c r="O1387" s="41"/>
      <c r="P1387" s="41"/>
      <c r="Q1387" s="41"/>
      <c r="R1387" s="41"/>
      <c r="S1387" s="41"/>
    </row>
    <row r="1388" spans="1:19" x14ac:dyDescent="0.3">
      <c r="A1388" s="41"/>
      <c r="B1388" s="41"/>
      <c r="C1388" s="41"/>
      <c r="D1388" s="41"/>
      <c r="E1388" s="41"/>
      <c r="F1388" s="41"/>
      <c r="G1388" s="41"/>
      <c r="H1388" s="41"/>
      <c r="I1388" s="41"/>
      <c r="J1388" s="41"/>
      <c r="K1388" s="41"/>
      <c r="L1388" s="41"/>
      <c r="M1388" s="41"/>
      <c r="N1388" s="41"/>
      <c r="O1388" s="41"/>
      <c r="P1388" s="41"/>
      <c r="Q1388" s="41"/>
      <c r="R1388" s="41"/>
      <c r="S1388" s="41"/>
    </row>
    <row r="1389" spans="1:19" x14ac:dyDescent="0.3">
      <c r="A1389" s="41"/>
      <c r="B1389" s="41"/>
      <c r="C1389" s="41"/>
      <c r="D1389" s="41"/>
      <c r="E1389" s="41"/>
      <c r="F1389" s="41"/>
      <c r="G1389" s="41"/>
      <c r="H1389" s="41"/>
      <c r="I1389" s="41"/>
      <c r="J1389" s="41"/>
      <c r="K1389" s="41"/>
      <c r="L1389" s="41"/>
      <c r="M1389" s="41"/>
      <c r="N1389" s="41"/>
      <c r="O1389" s="41"/>
      <c r="P1389" s="41"/>
      <c r="Q1389" s="41"/>
      <c r="R1389" s="41"/>
      <c r="S1389" s="41"/>
    </row>
    <row r="1390" spans="1:19" x14ac:dyDescent="0.3">
      <c r="A1390" s="41"/>
      <c r="B1390" s="41"/>
      <c r="C1390" s="41"/>
      <c r="D1390" s="41"/>
      <c r="E1390" s="41"/>
      <c r="F1390" s="41"/>
      <c r="G1390" s="41"/>
      <c r="H1390" s="41"/>
      <c r="I1390" s="41"/>
      <c r="J1390" s="41"/>
      <c r="K1390" s="41"/>
      <c r="L1390" s="41"/>
      <c r="M1390" s="41"/>
      <c r="N1390" s="41"/>
      <c r="O1390" s="41"/>
      <c r="P1390" s="41"/>
      <c r="Q1390" s="41"/>
      <c r="R1390" s="41"/>
      <c r="S1390" s="41"/>
    </row>
    <row r="1391" spans="1:19" x14ac:dyDescent="0.3">
      <c r="A1391" s="41"/>
      <c r="B1391" s="41"/>
      <c r="C1391" s="41"/>
      <c r="D1391" s="41"/>
      <c r="E1391" s="41"/>
      <c r="F1391" s="41"/>
      <c r="G1391" s="41"/>
      <c r="H1391" s="41"/>
      <c r="I1391" s="41"/>
      <c r="J1391" s="41"/>
      <c r="K1391" s="41"/>
      <c r="L1391" s="41"/>
      <c r="M1391" s="41"/>
      <c r="N1391" s="41"/>
      <c r="O1391" s="41"/>
      <c r="P1391" s="41"/>
      <c r="Q1391" s="41"/>
      <c r="R1391" s="41"/>
      <c r="S1391" s="41"/>
    </row>
    <row r="1392" spans="1:19" x14ac:dyDescent="0.3">
      <c r="A1392" s="41"/>
      <c r="B1392" s="41"/>
      <c r="C1392" s="41"/>
      <c r="D1392" s="41"/>
      <c r="E1392" s="41"/>
      <c r="F1392" s="41"/>
      <c r="G1392" s="41"/>
      <c r="H1392" s="41"/>
      <c r="I1392" s="41"/>
      <c r="J1392" s="41"/>
      <c r="K1392" s="41"/>
      <c r="L1392" s="41"/>
      <c r="M1392" s="41"/>
      <c r="N1392" s="41"/>
      <c r="O1392" s="41"/>
      <c r="P1392" s="41"/>
      <c r="Q1392" s="41"/>
      <c r="R1392" s="41"/>
      <c r="S1392" s="41"/>
    </row>
    <row r="1393" spans="1:19" x14ac:dyDescent="0.3">
      <c r="A1393" s="41"/>
      <c r="B1393" s="41"/>
      <c r="C1393" s="41"/>
      <c r="D1393" s="41"/>
      <c r="E1393" s="41"/>
      <c r="F1393" s="41"/>
      <c r="G1393" s="41"/>
      <c r="H1393" s="41"/>
      <c r="I1393" s="41"/>
      <c r="J1393" s="41"/>
      <c r="K1393" s="41"/>
      <c r="L1393" s="41"/>
      <c r="M1393" s="41"/>
      <c r="N1393" s="41"/>
      <c r="O1393" s="41"/>
      <c r="P1393" s="41"/>
      <c r="Q1393" s="41"/>
      <c r="R1393" s="41"/>
      <c r="S1393" s="41"/>
    </row>
    <row r="1394" spans="1:19" x14ac:dyDescent="0.3">
      <c r="A1394" s="41"/>
      <c r="B1394" s="41"/>
      <c r="C1394" s="41"/>
      <c r="D1394" s="41"/>
      <c r="E1394" s="41"/>
      <c r="F1394" s="41"/>
      <c r="G1394" s="41"/>
      <c r="H1394" s="41"/>
      <c r="I1394" s="41"/>
      <c r="J1394" s="41"/>
      <c r="K1394" s="41"/>
      <c r="L1394" s="41"/>
      <c r="M1394" s="41"/>
      <c r="N1394" s="41"/>
      <c r="O1394" s="41"/>
      <c r="P1394" s="41"/>
      <c r="Q1394" s="41"/>
      <c r="R1394" s="41"/>
      <c r="S1394" s="41"/>
    </row>
    <row r="1395" spans="1:19" x14ac:dyDescent="0.3">
      <c r="A1395" s="41"/>
      <c r="B1395" s="41"/>
      <c r="C1395" s="41"/>
      <c r="D1395" s="41"/>
      <c r="E1395" s="41"/>
      <c r="F1395" s="41"/>
      <c r="G1395" s="41"/>
      <c r="H1395" s="41"/>
      <c r="I1395" s="41"/>
      <c r="J1395" s="41"/>
      <c r="K1395" s="41"/>
      <c r="L1395" s="41"/>
      <c r="M1395" s="41"/>
      <c r="N1395" s="41"/>
      <c r="O1395" s="41"/>
      <c r="P1395" s="41"/>
      <c r="Q1395" s="41"/>
      <c r="R1395" s="41"/>
      <c r="S1395" s="41"/>
    </row>
    <row r="1396" spans="1:19" x14ac:dyDescent="0.3">
      <c r="A1396" s="41"/>
      <c r="B1396" s="41"/>
      <c r="C1396" s="41"/>
      <c r="D1396" s="41"/>
      <c r="E1396" s="41"/>
      <c r="F1396" s="41"/>
      <c r="G1396" s="41"/>
      <c r="H1396" s="41"/>
      <c r="I1396" s="41"/>
      <c r="J1396" s="41"/>
      <c r="K1396" s="41"/>
      <c r="L1396" s="41"/>
      <c r="M1396" s="41"/>
      <c r="N1396" s="41"/>
      <c r="O1396" s="41"/>
      <c r="P1396" s="41"/>
      <c r="Q1396" s="41"/>
      <c r="R1396" s="41"/>
      <c r="S1396" s="41"/>
    </row>
    <row r="1397" spans="1:19" x14ac:dyDescent="0.3">
      <c r="A1397" s="41"/>
      <c r="B1397" s="41"/>
      <c r="C1397" s="41"/>
      <c r="D1397" s="41"/>
      <c r="E1397" s="41"/>
      <c r="F1397" s="41"/>
      <c r="G1397" s="41"/>
      <c r="H1397" s="41"/>
      <c r="I1397" s="41"/>
      <c r="J1397" s="41"/>
      <c r="K1397" s="41"/>
      <c r="L1397" s="41"/>
      <c r="M1397" s="41"/>
      <c r="N1397" s="41"/>
      <c r="O1397" s="41"/>
      <c r="P1397" s="41"/>
      <c r="Q1397" s="41"/>
      <c r="R1397" s="41"/>
      <c r="S1397" s="41"/>
    </row>
    <row r="1398" spans="1:19" x14ac:dyDescent="0.3">
      <c r="A1398" s="41"/>
      <c r="B1398" s="41"/>
      <c r="C1398" s="41"/>
      <c r="D1398" s="41"/>
      <c r="E1398" s="41"/>
      <c r="F1398" s="41"/>
      <c r="G1398" s="41"/>
      <c r="H1398" s="41"/>
      <c r="I1398" s="41"/>
      <c r="J1398" s="41"/>
      <c r="K1398" s="41"/>
      <c r="L1398" s="41"/>
      <c r="M1398" s="41"/>
      <c r="N1398" s="41"/>
      <c r="O1398" s="41"/>
      <c r="P1398" s="41"/>
      <c r="Q1398" s="41"/>
      <c r="R1398" s="41"/>
      <c r="S1398" s="41"/>
    </row>
    <row r="1399" spans="1:19" x14ac:dyDescent="0.3">
      <c r="A1399" s="41"/>
      <c r="B1399" s="41"/>
      <c r="C1399" s="41"/>
      <c r="D1399" s="41"/>
      <c r="E1399" s="41"/>
      <c r="F1399" s="41"/>
      <c r="G1399" s="41"/>
      <c r="H1399" s="41"/>
      <c r="I1399" s="41"/>
      <c r="J1399" s="41"/>
      <c r="K1399" s="41"/>
      <c r="L1399" s="41"/>
      <c r="M1399" s="41"/>
      <c r="N1399" s="41"/>
      <c r="O1399" s="41"/>
      <c r="P1399" s="41"/>
      <c r="Q1399" s="41"/>
      <c r="R1399" s="41"/>
      <c r="S1399" s="41"/>
    </row>
    <row r="1400" spans="1:19" x14ac:dyDescent="0.3">
      <c r="A1400" s="41"/>
      <c r="B1400" s="41"/>
      <c r="C1400" s="41"/>
      <c r="D1400" s="41"/>
      <c r="E1400" s="41"/>
      <c r="F1400" s="41"/>
      <c r="G1400" s="41"/>
      <c r="H1400" s="41"/>
      <c r="I1400" s="41"/>
      <c r="J1400" s="41"/>
      <c r="K1400" s="41"/>
      <c r="L1400" s="41"/>
      <c r="M1400" s="41"/>
      <c r="N1400" s="41"/>
      <c r="O1400" s="41"/>
      <c r="P1400" s="41"/>
      <c r="Q1400" s="41"/>
      <c r="R1400" s="41"/>
      <c r="S1400" s="41"/>
    </row>
    <row r="1401" spans="1:19" x14ac:dyDescent="0.3">
      <c r="A1401" s="41"/>
      <c r="B1401" s="41"/>
      <c r="C1401" s="41"/>
      <c r="D1401" s="41"/>
      <c r="E1401" s="41"/>
      <c r="F1401" s="41"/>
      <c r="G1401" s="41"/>
      <c r="H1401" s="41"/>
      <c r="I1401" s="41"/>
      <c r="J1401" s="41"/>
      <c r="K1401" s="41"/>
      <c r="L1401" s="41"/>
      <c r="M1401" s="41"/>
      <c r="N1401" s="41"/>
      <c r="O1401" s="41"/>
      <c r="P1401" s="41"/>
      <c r="Q1401" s="41"/>
      <c r="R1401" s="41"/>
      <c r="S1401" s="41"/>
    </row>
    <row r="1402" spans="1:19" x14ac:dyDescent="0.3">
      <c r="A1402" s="41"/>
      <c r="B1402" s="41"/>
      <c r="C1402" s="41"/>
      <c r="D1402" s="41"/>
      <c r="E1402" s="41"/>
      <c r="F1402" s="41"/>
      <c r="G1402" s="41"/>
      <c r="H1402" s="41"/>
      <c r="I1402" s="41"/>
      <c r="J1402" s="41"/>
      <c r="K1402" s="41"/>
      <c r="L1402" s="41"/>
      <c r="M1402" s="41"/>
      <c r="N1402" s="41"/>
      <c r="O1402" s="41"/>
      <c r="P1402" s="41"/>
      <c r="Q1402" s="41"/>
      <c r="R1402" s="41"/>
      <c r="S1402" s="41"/>
    </row>
    <row r="1403" spans="1:19" x14ac:dyDescent="0.3">
      <c r="A1403" s="41"/>
      <c r="B1403" s="41"/>
      <c r="C1403" s="41"/>
      <c r="D1403" s="41"/>
      <c r="E1403" s="41"/>
      <c r="F1403" s="41"/>
      <c r="G1403" s="41"/>
      <c r="H1403" s="41"/>
      <c r="I1403" s="41"/>
      <c r="J1403" s="41"/>
      <c r="K1403" s="41"/>
      <c r="L1403" s="41"/>
      <c r="M1403" s="41"/>
      <c r="N1403" s="41"/>
      <c r="O1403" s="41"/>
      <c r="P1403" s="41"/>
      <c r="Q1403" s="41"/>
      <c r="R1403" s="41"/>
      <c r="S1403" s="41"/>
    </row>
    <row r="1404" spans="1:19" x14ac:dyDescent="0.3">
      <c r="A1404" s="41"/>
      <c r="B1404" s="41"/>
      <c r="C1404" s="41"/>
      <c r="D1404" s="41"/>
      <c r="E1404" s="41"/>
      <c r="F1404" s="41"/>
      <c r="G1404" s="41"/>
      <c r="H1404" s="41"/>
      <c r="I1404" s="41"/>
      <c r="J1404" s="41"/>
      <c r="K1404" s="41"/>
      <c r="L1404" s="41"/>
      <c r="M1404" s="41"/>
      <c r="N1404" s="41"/>
      <c r="O1404" s="41"/>
      <c r="P1404" s="41"/>
      <c r="Q1404" s="41"/>
      <c r="R1404" s="41"/>
      <c r="S1404" s="41"/>
    </row>
    <row r="1405" spans="1:19" x14ac:dyDescent="0.3">
      <c r="A1405" s="41"/>
      <c r="B1405" s="41"/>
      <c r="C1405" s="41"/>
      <c r="D1405" s="41"/>
      <c r="E1405" s="41"/>
      <c r="F1405" s="41"/>
      <c r="G1405" s="41"/>
      <c r="H1405" s="41"/>
      <c r="I1405" s="41"/>
      <c r="J1405" s="41"/>
      <c r="K1405" s="41"/>
      <c r="L1405" s="41"/>
      <c r="M1405" s="41"/>
      <c r="N1405" s="41"/>
      <c r="O1405" s="41"/>
      <c r="P1405" s="41"/>
      <c r="Q1405" s="41"/>
      <c r="R1405" s="41"/>
      <c r="S1405" s="41"/>
    </row>
    <row r="1406" spans="1:19" x14ac:dyDescent="0.3">
      <c r="A1406" s="41"/>
      <c r="B1406" s="41"/>
      <c r="C1406" s="41"/>
      <c r="D1406" s="41"/>
      <c r="E1406" s="41"/>
      <c r="F1406" s="41"/>
      <c r="G1406" s="41"/>
      <c r="H1406" s="41"/>
      <c r="I1406" s="41"/>
      <c r="J1406" s="41"/>
      <c r="K1406" s="41"/>
      <c r="L1406" s="41"/>
      <c r="M1406" s="41"/>
      <c r="N1406" s="41"/>
      <c r="O1406" s="41"/>
      <c r="P1406" s="41"/>
      <c r="Q1406" s="41"/>
      <c r="R1406" s="41"/>
      <c r="S1406" s="41"/>
    </row>
    <row r="1407" spans="1:19" x14ac:dyDescent="0.3">
      <c r="A1407" s="41"/>
      <c r="B1407" s="41"/>
      <c r="C1407" s="41"/>
      <c r="D1407" s="41"/>
      <c r="E1407" s="41"/>
      <c r="F1407" s="41"/>
      <c r="G1407" s="41"/>
      <c r="H1407" s="41"/>
      <c r="I1407" s="41"/>
      <c r="J1407" s="41"/>
      <c r="K1407" s="41"/>
      <c r="L1407" s="41"/>
      <c r="M1407" s="41"/>
      <c r="N1407" s="41"/>
      <c r="O1407" s="41"/>
      <c r="P1407" s="41"/>
      <c r="Q1407" s="41"/>
      <c r="R1407" s="41"/>
      <c r="S1407" s="41"/>
    </row>
    <row r="1408" spans="1:19" x14ac:dyDescent="0.3">
      <c r="A1408" s="41"/>
      <c r="B1408" s="41"/>
      <c r="C1408" s="41"/>
      <c r="D1408" s="41"/>
      <c r="E1408" s="41"/>
      <c r="F1408" s="41"/>
      <c r="G1408" s="41"/>
      <c r="H1408" s="41"/>
      <c r="I1408" s="41"/>
      <c r="J1408" s="41"/>
      <c r="K1408" s="41"/>
      <c r="L1408" s="41"/>
      <c r="M1408" s="41"/>
      <c r="N1408" s="41"/>
      <c r="O1408" s="41"/>
      <c r="P1408" s="41"/>
      <c r="Q1408" s="41"/>
      <c r="R1408" s="41"/>
      <c r="S1408" s="41"/>
    </row>
    <row r="1409" spans="1:19" x14ac:dyDescent="0.3">
      <c r="A1409" s="41"/>
      <c r="B1409" s="41"/>
      <c r="C1409" s="41"/>
      <c r="D1409" s="41"/>
      <c r="E1409" s="41"/>
      <c r="F1409" s="41"/>
      <c r="G1409" s="41"/>
      <c r="H1409" s="41"/>
      <c r="I1409" s="41"/>
      <c r="J1409" s="41"/>
      <c r="K1409" s="41"/>
      <c r="L1409" s="41"/>
      <c r="M1409" s="41"/>
      <c r="N1409" s="41"/>
      <c r="O1409" s="41"/>
      <c r="P1409" s="41"/>
      <c r="Q1409" s="41"/>
      <c r="R1409" s="41"/>
      <c r="S1409" s="41"/>
    </row>
    <row r="1410" spans="1:19" x14ac:dyDescent="0.3">
      <c r="A1410" s="41"/>
      <c r="B1410" s="41"/>
      <c r="C1410" s="41"/>
      <c r="D1410" s="41"/>
      <c r="E1410" s="41"/>
      <c r="F1410" s="41"/>
      <c r="G1410" s="41"/>
      <c r="H1410" s="41"/>
      <c r="I1410" s="41"/>
      <c r="J1410" s="41"/>
      <c r="K1410" s="41"/>
      <c r="L1410" s="41"/>
      <c r="M1410" s="41"/>
      <c r="N1410" s="41"/>
      <c r="O1410" s="41"/>
      <c r="P1410" s="41"/>
      <c r="Q1410" s="41"/>
      <c r="R1410" s="41"/>
      <c r="S1410" s="41"/>
    </row>
    <row r="1411" spans="1:19" x14ac:dyDescent="0.3">
      <c r="A1411" s="41"/>
      <c r="B1411" s="41"/>
      <c r="C1411" s="41"/>
      <c r="D1411" s="41"/>
      <c r="E1411" s="41"/>
      <c r="F1411" s="41"/>
      <c r="G1411" s="41"/>
      <c r="H1411" s="41"/>
      <c r="I1411" s="41"/>
      <c r="J1411" s="41"/>
      <c r="K1411" s="41"/>
      <c r="L1411" s="41"/>
      <c r="M1411" s="41"/>
      <c r="N1411" s="41"/>
      <c r="O1411" s="41"/>
      <c r="P1411" s="41"/>
      <c r="Q1411" s="41"/>
      <c r="R1411" s="41"/>
      <c r="S1411" s="41"/>
    </row>
    <row r="1412" spans="1:19" x14ac:dyDescent="0.3">
      <c r="A1412" s="41"/>
      <c r="B1412" s="41"/>
      <c r="C1412" s="41"/>
      <c r="D1412" s="41"/>
      <c r="E1412" s="41"/>
      <c r="F1412" s="41"/>
      <c r="G1412" s="41"/>
      <c r="H1412" s="41"/>
      <c r="I1412" s="41"/>
      <c r="J1412" s="41"/>
      <c r="K1412" s="41"/>
      <c r="L1412" s="41"/>
      <c r="M1412" s="41"/>
      <c r="N1412" s="41"/>
      <c r="O1412" s="41"/>
      <c r="P1412" s="41"/>
      <c r="Q1412" s="41"/>
      <c r="R1412" s="41"/>
      <c r="S1412" s="41"/>
    </row>
    <row r="1413" spans="1:19" x14ac:dyDescent="0.3">
      <c r="A1413" s="41"/>
      <c r="B1413" s="41"/>
      <c r="C1413" s="41"/>
      <c r="D1413" s="41"/>
      <c r="E1413" s="41"/>
      <c r="F1413" s="41"/>
      <c r="G1413" s="41"/>
      <c r="H1413" s="41"/>
      <c r="I1413" s="41"/>
      <c r="J1413" s="41"/>
      <c r="K1413" s="41"/>
      <c r="L1413" s="41"/>
      <c r="M1413" s="41"/>
      <c r="N1413" s="41"/>
      <c r="O1413" s="41"/>
      <c r="P1413" s="41"/>
      <c r="Q1413" s="41"/>
      <c r="R1413" s="41"/>
      <c r="S1413" s="41"/>
    </row>
    <row r="1414" spans="1:19" x14ac:dyDescent="0.3">
      <c r="A1414" s="41"/>
      <c r="B1414" s="41"/>
      <c r="C1414" s="41"/>
      <c r="D1414" s="41"/>
      <c r="E1414" s="41"/>
      <c r="F1414" s="41"/>
      <c r="G1414" s="41"/>
      <c r="H1414" s="41"/>
      <c r="I1414" s="41"/>
      <c r="J1414" s="41"/>
      <c r="K1414" s="41"/>
      <c r="L1414" s="41"/>
      <c r="M1414" s="41"/>
      <c r="N1414" s="41"/>
      <c r="O1414" s="41"/>
      <c r="P1414" s="41"/>
      <c r="Q1414" s="41"/>
      <c r="R1414" s="41"/>
      <c r="S1414" s="41"/>
    </row>
    <row r="1415" spans="1:19" x14ac:dyDescent="0.3">
      <c r="A1415" s="41"/>
      <c r="B1415" s="41"/>
      <c r="C1415" s="41"/>
      <c r="D1415" s="41"/>
      <c r="E1415" s="41"/>
      <c r="F1415" s="41"/>
      <c r="G1415" s="41"/>
      <c r="H1415" s="41"/>
      <c r="I1415" s="41"/>
      <c r="J1415" s="41"/>
      <c r="K1415" s="41"/>
      <c r="L1415" s="41"/>
      <c r="M1415" s="41"/>
      <c r="N1415" s="41"/>
      <c r="O1415" s="41"/>
      <c r="P1415" s="41"/>
      <c r="Q1415" s="41"/>
      <c r="R1415" s="41"/>
      <c r="S1415" s="41"/>
    </row>
    <row r="1416" spans="1:19" x14ac:dyDescent="0.3">
      <c r="A1416" s="41"/>
      <c r="B1416" s="41"/>
      <c r="C1416" s="41"/>
      <c r="D1416" s="41"/>
      <c r="E1416" s="41"/>
      <c r="F1416" s="41"/>
      <c r="G1416" s="41"/>
      <c r="H1416" s="41"/>
      <c r="I1416" s="41"/>
      <c r="J1416" s="41"/>
      <c r="K1416" s="41"/>
      <c r="L1416" s="41"/>
      <c r="M1416" s="41"/>
      <c r="N1416" s="41"/>
      <c r="O1416" s="41"/>
      <c r="P1416" s="41"/>
      <c r="Q1416" s="41"/>
      <c r="R1416" s="41"/>
      <c r="S1416" s="41"/>
    </row>
    <row r="1417" spans="1:19" x14ac:dyDescent="0.3">
      <c r="A1417" s="41"/>
      <c r="B1417" s="41"/>
      <c r="C1417" s="41"/>
      <c r="D1417" s="41"/>
      <c r="E1417" s="41"/>
      <c r="F1417" s="41"/>
      <c r="G1417" s="41"/>
      <c r="H1417" s="41"/>
      <c r="I1417" s="41"/>
      <c r="J1417" s="41"/>
      <c r="K1417" s="41"/>
      <c r="L1417" s="41"/>
      <c r="M1417" s="41"/>
      <c r="N1417" s="41"/>
      <c r="O1417" s="41"/>
      <c r="P1417" s="41"/>
      <c r="Q1417" s="41"/>
      <c r="R1417" s="41"/>
      <c r="S1417" s="41"/>
    </row>
    <row r="1418" spans="1:19" x14ac:dyDescent="0.3">
      <c r="A1418" s="41"/>
      <c r="B1418" s="41"/>
      <c r="C1418" s="41"/>
      <c r="D1418" s="41"/>
      <c r="E1418" s="41"/>
      <c r="F1418" s="41"/>
      <c r="G1418" s="41"/>
      <c r="H1418" s="41"/>
      <c r="I1418" s="41"/>
      <c r="J1418" s="41"/>
      <c r="K1418" s="41"/>
      <c r="L1418" s="41"/>
      <c r="M1418" s="41"/>
      <c r="N1418" s="41"/>
      <c r="O1418" s="41"/>
      <c r="P1418" s="41"/>
      <c r="Q1418" s="41"/>
      <c r="R1418" s="41"/>
      <c r="S1418" s="41"/>
    </row>
    <row r="1419" spans="1:19" x14ac:dyDescent="0.3">
      <c r="A1419" s="41"/>
      <c r="B1419" s="41"/>
      <c r="C1419" s="41"/>
      <c r="D1419" s="41"/>
      <c r="E1419" s="41"/>
      <c r="F1419" s="41"/>
      <c r="G1419" s="41"/>
      <c r="H1419" s="41"/>
      <c r="I1419" s="41"/>
      <c r="J1419" s="41"/>
      <c r="K1419" s="41"/>
      <c r="L1419" s="41"/>
      <c r="M1419" s="41"/>
      <c r="N1419" s="41"/>
      <c r="O1419" s="41"/>
      <c r="P1419" s="41"/>
      <c r="Q1419" s="41"/>
      <c r="R1419" s="41"/>
      <c r="S1419" s="41"/>
    </row>
    <row r="1420" spans="1:19" x14ac:dyDescent="0.3">
      <c r="A1420" s="41"/>
      <c r="B1420" s="41"/>
      <c r="C1420" s="41"/>
      <c r="D1420" s="41"/>
      <c r="E1420" s="41"/>
      <c r="F1420" s="41"/>
      <c r="G1420" s="41"/>
      <c r="H1420" s="41"/>
      <c r="I1420" s="41"/>
      <c r="J1420" s="41"/>
      <c r="K1420" s="41"/>
      <c r="L1420" s="41"/>
      <c r="M1420" s="41"/>
      <c r="N1420" s="41"/>
      <c r="O1420" s="41"/>
      <c r="P1420" s="41"/>
      <c r="Q1420" s="41"/>
      <c r="R1420" s="41"/>
      <c r="S1420" s="41"/>
    </row>
    <row r="1421" spans="1:19" x14ac:dyDescent="0.3">
      <c r="A1421" s="41"/>
      <c r="B1421" s="41"/>
      <c r="C1421" s="41"/>
      <c r="D1421" s="41"/>
      <c r="E1421" s="41"/>
      <c r="F1421" s="41"/>
      <c r="G1421" s="41"/>
      <c r="H1421" s="41"/>
      <c r="I1421" s="41"/>
      <c r="J1421" s="41"/>
      <c r="K1421" s="41"/>
      <c r="L1421" s="41"/>
      <c r="M1421" s="41"/>
      <c r="N1421" s="41"/>
      <c r="O1421" s="41"/>
      <c r="P1421" s="41"/>
      <c r="Q1421" s="41"/>
      <c r="R1421" s="41"/>
      <c r="S1421" s="41"/>
    </row>
    <row r="1422" spans="1:19" x14ac:dyDescent="0.3">
      <c r="A1422" s="41"/>
      <c r="B1422" s="41"/>
      <c r="C1422" s="41"/>
      <c r="D1422" s="41"/>
      <c r="E1422" s="41"/>
      <c r="F1422" s="41"/>
      <c r="G1422" s="41"/>
      <c r="H1422" s="41"/>
      <c r="I1422" s="41"/>
      <c r="J1422" s="41"/>
      <c r="K1422" s="41"/>
      <c r="L1422" s="41"/>
      <c r="M1422" s="41"/>
      <c r="N1422" s="41"/>
      <c r="O1422" s="41"/>
      <c r="P1422" s="41"/>
      <c r="Q1422" s="41"/>
      <c r="R1422" s="41"/>
      <c r="S1422" s="41"/>
    </row>
    <row r="1423" spans="1:19" x14ac:dyDescent="0.3">
      <c r="A1423" s="41"/>
      <c r="B1423" s="41"/>
      <c r="C1423" s="41"/>
      <c r="D1423" s="41"/>
      <c r="E1423" s="41"/>
      <c r="F1423" s="41"/>
      <c r="G1423" s="41"/>
      <c r="H1423" s="41"/>
      <c r="I1423" s="41"/>
      <c r="J1423" s="41"/>
      <c r="K1423" s="41"/>
      <c r="L1423" s="41"/>
      <c r="M1423" s="41"/>
      <c r="N1423" s="41"/>
      <c r="O1423" s="41"/>
      <c r="P1423" s="41"/>
      <c r="Q1423" s="41"/>
      <c r="R1423" s="41"/>
      <c r="S1423" s="41"/>
    </row>
    <row r="1424" spans="1:19" x14ac:dyDescent="0.3">
      <c r="A1424" s="41"/>
      <c r="B1424" s="41"/>
      <c r="C1424" s="41"/>
      <c r="D1424" s="41"/>
      <c r="E1424" s="41"/>
      <c r="F1424" s="41"/>
      <c r="G1424" s="41"/>
      <c r="H1424" s="41"/>
      <c r="I1424" s="41"/>
      <c r="J1424" s="41"/>
      <c r="K1424" s="41"/>
      <c r="L1424" s="41"/>
      <c r="M1424" s="41"/>
      <c r="N1424" s="41"/>
      <c r="O1424" s="41"/>
      <c r="P1424" s="41"/>
      <c r="Q1424" s="41"/>
      <c r="R1424" s="41"/>
      <c r="S1424" s="41"/>
    </row>
    <row r="1425" spans="1:19" x14ac:dyDescent="0.3">
      <c r="A1425" s="41"/>
      <c r="B1425" s="41"/>
      <c r="C1425" s="41"/>
      <c r="D1425" s="41"/>
      <c r="E1425" s="41"/>
      <c r="F1425" s="41"/>
      <c r="G1425" s="41"/>
      <c r="H1425" s="41"/>
      <c r="I1425" s="41"/>
      <c r="J1425" s="41"/>
      <c r="K1425" s="41"/>
      <c r="L1425" s="41"/>
      <c r="M1425" s="41"/>
      <c r="N1425" s="41"/>
      <c r="O1425" s="41"/>
      <c r="P1425" s="41"/>
      <c r="Q1425" s="41"/>
      <c r="R1425" s="41"/>
      <c r="S1425" s="41"/>
    </row>
    <row r="1426" spans="1:19" x14ac:dyDescent="0.3">
      <c r="A1426" s="41"/>
      <c r="B1426" s="41"/>
      <c r="C1426" s="41"/>
      <c r="D1426" s="41"/>
      <c r="E1426" s="41"/>
      <c r="F1426" s="41"/>
      <c r="G1426" s="41"/>
      <c r="H1426" s="41"/>
      <c r="I1426" s="41"/>
      <c r="J1426" s="41"/>
      <c r="K1426" s="41"/>
      <c r="L1426" s="41"/>
      <c r="M1426" s="41"/>
      <c r="N1426" s="41"/>
      <c r="O1426" s="41"/>
      <c r="P1426" s="41"/>
      <c r="Q1426" s="41"/>
      <c r="R1426" s="41"/>
      <c r="S1426" s="41"/>
    </row>
    <row r="1427" spans="1:19" x14ac:dyDescent="0.3">
      <c r="A1427" s="41"/>
      <c r="B1427" s="41"/>
      <c r="C1427" s="41"/>
      <c r="D1427" s="41"/>
      <c r="E1427" s="41"/>
      <c r="F1427" s="41"/>
      <c r="G1427" s="41"/>
      <c r="H1427" s="41"/>
      <c r="I1427" s="41"/>
      <c r="J1427" s="41"/>
      <c r="K1427" s="41"/>
      <c r="L1427" s="41"/>
      <c r="M1427" s="41"/>
      <c r="N1427" s="41"/>
      <c r="O1427" s="41"/>
      <c r="P1427" s="41"/>
      <c r="Q1427" s="41"/>
      <c r="R1427" s="41"/>
      <c r="S1427" s="41"/>
    </row>
    <row r="1428" spans="1:19" x14ac:dyDescent="0.3">
      <c r="A1428" s="41"/>
      <c r="B1428" s="41"/>
      <c r="C1428" s="41"/>
      <c r="D1428" s="41"/>
      <c r="E1428" s="41"/>
      <c r="F1428" s="41"/>
      <c r="G1428" s="41"/>
      <c r="H1428" s="41"/>
      <c r="I1428" s="41"/>
      <c r="J1428" s="41"/>
      <c r="K1428" s="41"/>
      <c r="L1428" s="41"/>
      <c r="M1428" s="41"/>
      <c r="N1428" s="41"/>
      <c r="O1428" s="41"/>
      <c r="P1428" s="41"/>
      <c r="Q1428" s="41"/>
      <c r="R1428" s="41"/>
      <c r="S1428" s="41"/>
    </row>
    <row r="1429" spans="1:19" x14ac:dyDescent="0.3">
      <c r="A1429" s="41"/>
      <c r="B1429" s="41"/>
      <c r="C1429" s="41"/>
      <c r="D1429" s="41"/>
      <c r="E1429" s="41"/>
      <c r="F1429" s="41"/>
      <c r="G1429" s="41"/>
      <c r="H1429" s="41"/>
      <c r="I1429" s="41"/>
      <c r="J1429" s="41"/>
      <c r="K1429" s="41"/>
      <c r="L1429" s="41"/>
      <c r="M1429" s="41"/>
      <c r="N1429" s="41"/>
      <c r="O1429" s="41"/>
      <c r="P1429" s="41"/>
      <c r="Q1429" s="41"/>
      <c r="R1429" s="41"/>
      <c r="S1429" s="41"/>
    </row>
    <row r="1430" spans="1:19" x14ac:dyDescent="0.3">
      <c r="A1430" s="41"/>
      <c r="B1430" s="41"/>
      <c r="C1430" s="41"/>
      <c r="D1430" s="41"/>
      <c r="E1430" s="41"/>
      <c r="F1430" s="41"/>
      <c r="G1430" s="41"/>
      <c r="H1430" s="41"/>
      <c r="I1430" s="41"/>
      <c r="J1430" s="41"/>
      <c r="K1430" s="41"/>
      <c r="L1430" s="41"/>
      <c r="M1430" s="41"/>
      <c r="N1430" s="41"/>
      <c r="O1430" s="41"/>
      <c r="P1430" s="41"/>
      <c r="Q1430" s="41"/>
      <c r="R1430" s="41"/>
      <c r="S1430" s="41"/>
    </row>
    <row r="1431" spans="1:19" x14ac:dyDescent="0.3">
      <c r="A1431" s="41"/>
      <c r="B1431" s="41"/>
      <c r="C1431" s="41"/>
      <c r="D1431" s="41"/>
      <c r="E1431" s="41"/>
      <c r="F1431" s="41"/>
      <c r="G1431" s="41"/>
      <c r="H1431" s="41"/>
      <c r="I1431" s="41"/>
      <c r="J1431" s="41"/>
      <c r="K1431" s="41"/>
      <c r="L1431" s="41"/>
      <c r="M1431" s="41"/>
      <c r="N1431" s="41"/>
      <c r="O1431" s="41"/>
      <c r="P1431" s="41"/>
      <c r="Q1431" s="41"/>
      <c r="R1431" s="41"/>
      <c r="S1431" s="41"/>
    </row>
    <row r="1432" spans="1:19" x14ac:dyDescent="0.3">
      <c r="A1432" s="41"/>
      <c r="B1432" s="41"/>
      <c r="C1432" s="41"/>
      <c r="D1432" s="41"/>
      <c r="E1432" s="41"/>
      <c r="F1432" s="41"/>
      <c r="G1432" s="41"/>
      <c r="H1432" s="41"/>
      <c r="I1432" s="41"/>
      <c r="J1432" s="41"/>
      <c r="K1432" s="41"/>
      <c r="L1432" s="41"/>
      <c r="M1432" s="41"/>
      <c r="N1432" s="41"/>
      <c r="O1432" s="41"/>
      <c r="P1432" s="41"/>
      <c r="Q1432" s="41"/>
      <c r="R1432" s="41"/>
      <c r="S1432" s="41"/>
    </row>
    <row r="1433" spans="1:19" x14ac:dyDescent="0.3">
      <c r="A1433" s="41"/>
      <c r="B1433" s="41"/>
      <c r="C1433" s="41"/>
      <c r="D1433" s="41"/>
      <c r="E1433" s="41"/>
      <c r="F1433" s="41"/>
      <c r="G1433" s="41"/>
      <c r="H1433" s="41"/>
      <c r="I1433" s="41"/>
      <c r="J1433" s="41"/>
      <c r="K1433" s="41"/>
      <c r="L1433" s="41"/>
      <c r="M1433" s="41"/>
      <c r="N1433" s="41"/>
      <c r="O1433" s="41"/>
      <c r="P1433" s="41"/>
      <c r="Q1433" s="41"/>
      <c r="R1433" s="41"/>
      <c r="S1433" s="41"/>
    </row>
    <row r="1434" spans="1:19" x14ac:dyDescent="0.3">
      <c r="A1434" s="41"/>
      <c r="B1434" s="41"/>
      <c r="C1434" s="41"/>
      <c r="D1434" s="41"/>
      <c r="E1434" s="41"/>
      <c r="F1434" s="41"/>
      <c r="G1434" s="41"/>
      <c r="H1434" s="41"/>
      <c r="I1434" s="41"/>
      <c r="J1434" s="41"/>
      <c r="K1434" s="41"/>
      <c r="L1434" s="41"/>
      <c r="M1434" s="41"/>
      <c r="N1434" s="41"/>
      <c r="O1434" s="41"/>
      <c r="P1434" s="41"/>
      <c r="Q1434" s="41"/>
      <c r="R1434" s="41"/>
      <c r="S1434" s="41"/>
    </row>
    <row r="1435" spans="1:19" x14ac:dyDescent="0.3">
      <c r="A1435" s="41"/>
      <c r="B1435" s="41"/>
      <c r="C1435" s="41"/>
      <c r="D1435" s="41"/>
      <c r="E1435" s="41"/>
      <c r="F1435" s="41"/>
      <c r="G1435" s="41"/>
      <c r="H1435" s="41"/>
      <c r="I1435" s="41"/>
      <c r="J1435" s="41"/>
      <c r="K1435" s="41"/>
      <c r="L1435" s="41"/>
      <c r="M1435" s="41"/>
      <c r="N1435" s="41"/>
      <c r="O1435" s="41"/>
      <c r="P1435" s="41"/>
      <c r="Q1435" s="41"/>
      <c r="R1435" s="41"/>
      <c r="S1435" s="41"/>
    </row>
    <row r="1436" spans="1:19" x14ac:dyDescent="0.3">
      <c r="A1436" s="41"/>
      <c r="B1436" s="41"/>
      <c r="C1436" s="41"/>
      <c r="D1436" s="41"/>
      <c r="E1436" s="41"/>
      <c r="F1436" s="41"/>
      <c r="G1436" s="41"/>
      <c r="H1436" s="41"/>
      <c r="I1436" s="41"/>
      <c r="J1436" s="41"/>
      <c r="K1436" s="41"/>
      <c r="L1436" s="41"/>
      <c r="M1436" s="41"/>
      <c r="N1436" s="41"/>
      <c r="O1436" s="41"/>
      <c r="P1436" s="41"/>
      <c r="Q1436" s="41"/>
      <c r="R1436" s="41"/>
      <c r="S1436" s="41"/>
    </row>
    <row r="1437" spans="1:19" x14ac:dyDescent="0.3">
      <c r="A1437" s="41"/>
      <c r="B1437" s="41"/>
      <c r="C1437" s="41"/>
      <c r="D1437" s="41"/>
      <c r="E1437" s="41"/>
      <c r="F1437" s="41"/>
      <c r="G1437" s="41"/>
      <c r="H1437" s="41"/>
      <c r="I1437" s="41"/>
      <c r="J1437" s="41"/>
      <c r="K1437" s="41"/>
      <c r="L1437" s="41"/>
      <c r="M1437" s="41"/>
      <c r="N1437" s="41"/>
      <c r="O1437" s="41"/>
      <c r="P1437" s="41"/>
      <c r="Q1437" s="41"/>
      <c r="R1437" s="41"/>
      <c r="S1437" s="41"/>
    </row>
    <row r="1438" spans="1:19" x14ac:dyDescent="0.3">
      <c r="A1438" s="41"/>
      <c r="B1438" s="41"/>
      <c r="C1438" s="41"/>
      <c r="D1438" s="41"/>
      <c r="E1438" s="41"/>
      <c r="F1438" s="41"/>
      <c r="G1438" s="41"/>
      <c r="H1438" s="41"/>
      <c r="I1438" s="41"/>
      <c r="J1438" s="41"/>
      <c r="K1438" s="41"/>
      <c r="L1438" s="41"/>
      <c r="M1438" s="41"/>
      <c r="N1438" s="41"/>
      <c r="O1438" s="41"/>
      <c r="P1438" s="41"/>
      <c r="Q1438" s="41"/>
      <c r="R1438" s="41"/>
      <c r="S1438" s="41"/>
    </row>
    <row r="1439" spans="1:19" x14ac:dyDescent="0.3">
      <c r="A1439" s="41"/>
      <c r="B1439" s="41"/>
      <c r="C1439" s="41"/>
      <c r="D1439" s="41"/>
      <c r="E1439" s="41"/>
      <c r="F1439" s="41"/>
      <c r="G1439" s="41"/>
      <c r="H1439" s="41"/>
      <c r="I1439" s="41"/>
      <c r="J1439" s="41"/>
      <c r="K1439" s="41"/>
      <c r="L1439" s="41"/>
      <c r="M1439" s="41"/>
      <c r="N1439" s="41"/>
      <c r="O1439" s="41"/>
      <c r="P1439" s="41"/>
      <c r="Q1439" s="41"/>
      <c r="R1439" s="41"/>
      <c r="S1439" s="41"/>
    </row>
    <row r="1440" spans="1:19" x14ac:dyDescent="0.3">
      <c r="A1440" s="41"/>
      <c r="B1440" s="41"/>
      <c r="C1440" s="41"/>
      <c r="D1440" s="41"/>
      <c r="E1440" s="41"/>
      <c r="F1440" s="41"/>
      <c r="G1440" s="41"/>
      <c r="H1440" s="41"/>
      <c r="I1440" s="41"/>
      <c r="J1440" s="41"/>
      <c r="K1440" s="41"/>
      <c r="L1440" s="41"/>
      <c r="M1440" s="41"/>
      <c r="N1440" s="41"/>
      <c r="O1440" s="41"/>
      <c r="P1440" s="41"/>
      <c r="Q1440" s="41"/>
      <c r="R1440" s="41"/>
      <c r="S1440" s="41"/>
    </row>
    <row r="1441" spans="1:19" x14ac:dyDescent="0.3">
      <c r="A1441" s="41"/>
      <c r="B1441" s="41"/>
      <c r="C1441" s="41"/>
      <c r="D1441" s="41"/>
      <c r="E1441" s="41"/>
      <c r="F1441" s="41"/>
      <c r="G1441" s="41"/>
      <c r="H1441" s="41"/>
      <c r="I1441" s="41"/>
      <c r="J1441" s="41"/>
      <c r="K1441" s="41"/>
      <c r="L1441" s="41"/>
      <c r="M1441" s="41"/>
      <c r="N1441" s="41"/>
      <c r="O1441" s="41"/>
      <c r="P1441" s="41"/>
      <c r="Q1441" s="41"/>
      <c r="R1441" s="41"/>
      <c r="S1441" s="41"/>
    </row>
    <row r="1442" spans="1:19" x14ac:dyDescent="0.3">
      <c r="A1442" s="41"/>
      <c r="B1442" s="41"/>
      <c r="C1442" s="41"/>
      <c r="D1442" s="41"/>
      <c r="E1442" s="41"/>
      <c r="F1442" s="41"/>
      <c r="G1442" s="41"/>
      <c r="H1442" s="41"/>
      <c r="I1442" s="41"/>
      <c r="J1442" s="41"/>
      <c r="K1442" s="41"/>
      <c r="L1442" s="41"/>
      <c r="M1442" s="41"/>
      <c r="N1442" s="41"/>
      <c r="O1442" s="41"/>
      <c r="P1442" s="41"/>
      <c r="Q1442" s="41"/>
      <c r="R1442" s="41"/>
      <c r="S1442" s="41"/>
    </row>
    <row r="1443" spans="1:19" x14ac:dyDescent="0.3">
      <c r="A1443" s="41"/>
      <c r="B1443" s="41"/>
      <c r="C1443" s="41"/>
      <c r="D1443" s="41"/>
      <c r="E1443" s="41"/>
      <c r="F1443" s="41"/>
      <c r="G1443" s="41"/>
      <c r="H1443" s="41"/>
      <c r="I1443" s="41"/>
      <c r="J1443" s="41"/>
      <c r="K1443" s="41"/>
      <c r="L1443" s="41"/>
      <c r="M1443" s="41"/>
      <c r="N1443" s="41"/>
      <c r="O1443" s="41"/>
      <c r="P1443" s="41"/>
      <c r="Q1443" s="41"/>
      <c r="R1443" s="41"/>
      <c r="S1443" s="41"/>
    </row>
    <row r="1444" spans="1:19" x14ac:dyDescent="0.3">
      <c r="A1444" s="41"/>
      <c r="B1444" s="41"/>
      <c r="C1444" s="41"/>
      <c r="D1444" s="41"/>
      <c r="E1444" s="41"/>
      <c r="F1444" s="41"/>
      <c r="G1444" s="41"/>
      <c r="H1444" s="41"/>
      <c r="I1444" s="41"/>
      <c r="J1444" s="41"/>
      <c r="K1444" s="41"/>
      <c r="L1444" s="41"/>
      <c r="M1444" s="41"/>
      <c r="N1444" s="41"/>
      <c r="O1444" s="41"/>
      <c r="P1444" s="41"/>
      <c r="Q1444" s="41"/>
      <c r="R1444" s="41"/>
      <c r="S1444" s="41"/>
    </row>
    <row r="1445" spans="1:19" x14ac:dyDescent="0.3">
      <c r="A1445" s="41"/>
      <c r="B1445" s="41"/>
      <c r="C1445" s="41"/>
      <c r="D1445" s="41"/>
      <c r="E1445" s="41"/>
      <c r="F1445" s="41"/>
      <c r="G1445" s="41"/>
      <c r="H1445" s="41"/>
      <c r="I1445" s="41"/>
      <c r="J1445" s="41"/>
      <c r="K1445" s="41"/>
      <c r="L1445" s="41"/>
      <c r="M1445" s="41"/>
      <c r="N1445" s="41"/>
      <c r="O1445" s="41"/>
      <c r="P1445" s="41"/>
      <c r="Q1445" s="41"/>
      <c r="R1445" s="41"/>
      <c r="S1445" s="41"/>
    </row>
    <row r="1446" spans="1:19" x14ac:dyDescent="0.3">
      <c r="A1446" s="41"/>
      <c r="B1446" s="41"/>
      <c r="C1446" s="41"/>
      <c r="D1446" s="41"/>
      <c r="E1446" s="41"/>
      <c r="F1446" s="41"/>
      <c r="G1446" s="41"/>
      <c r="H1446" s="41"/>
      <c r="I1446" s="41"/>
      <c r="J1446" s="41"/>
      <c r="K1446" s="41"/>
      <c r="L1446" s="41"/>
      <c r="M1446" s="41"/>
      <c r="N1446" s="41"/>
      <c r="O1446" s="41"/>
      <c r="P1446" s="41"/>
      <c r="Q1446" s="41"/>
      <c r="R1446" s="41"/>
      <c r="S1446" s="41"/>
    </row>
    <row r="1447" spans="1:19" x14ac:dyDescent="0.3">
      <c r="A1447" s="41"/>
      <c r="B1447" s="41"/>
      <c r="C1447" s="41"/>
      <c r="D1447" s="41"/>
      <c r="E1447" s="41"/>
      <c r="F1447" s="41"/>
      <c r="G1447" s="41"/>
      <c r="H1447" s="41"/>
      <c r="I1447" s="41"/>
      <c r="J1447" s="41"/>
      <c r="K1447" s="41"/>
      <c r="L1447" s="41"/>
      <c r="M1447" s="41"/>
      <c r="N1447" s="41"/>
      <c r="O1447" s="41"/>
      <c r="P1447" s="41"/>
      <c r="Q1447" s="41"/>
      <c r="R1447" s="41"/>
      <c r="S1447" s="41"/>
    </row>
    <row r="1448" spans="1:19" x14ac:dyDescent="0.3">
      <c r="A1448" s="41"/>
      <c r="B1448" s="41"/>
      <c r="C1448" s="41"/>
      <c r="D1448" s="41"/>
      <c r="E1448" s="41"/>
      <c r="F1448" s="41"/>
      <c r="G1448" s="41"/>
      <c r="H1448" s="41"/>
      <c r="I1448" s="41"/>
      <c r="J1448" s="41"/>
      <c r="K1448" s="41"/>
      <c r="L1448" s="41"/>
      <c r="M1448" s="41"/>
      <c r="N1448" s="41"/>
      <c r="O1448" s="41"/>
      <c r="P1448" s="41"/>
      <c r="Q1448" s="41"/>
      <c r="R1448" s="41"/>
      <c r="S1448" s="41"/>
    </row>
    <row r="1449" spans="1:19" x14ac:dyDescent="0.3">
      <c r="A1449" s="41"/>
      <c r="B1449" s="41"/>
      <c r="C1449" s="41"/>
      <c r="D1449" s="41"/>
      <c r="E1449" s="41"/>
      <c r="F1449" s="41"/>
      <c r="G1449" s="41"/>
      <c r="H1449" s="41"/>
      <c r="I1449" s="41"/>
      <c r="J1449" s="41"/>
      <c r="K1449" s="41"/>
      <c r="L1449" s="41"/>
      <c r="M1449" s="41"/>
      <c r="N1449" s="41"/>
      <c r="O1449" s="41"/>
      <c r="P1449" s="41"/>
      <c r="Q1449" s="41"/>
      <c r="R1449" s="41"/>
      <c r="S1449" s="41"/>
    </row>
    <row r="1450" spans="1:19" x14ac:dyDescent="0.3">
      <c r="A1450" s="41"/>
      <c r="B1450" s="41"/>
      <c r="C1450" s="41"/>
      <c r="D1450" s="41"/>
      <c r="E1450" s="41"/>
      <c r="F1450" s="41"/>
      <c r="G1450" s="41"/>
      <c r="H1450" s="41"/>
      <c r="I1450" s="41"/>
      <c r="J1450" s="41"/>
      <c r="K1450" s="41"/>
      <c r="L1450" s="41"/>
      <c r="M1450" s="41"/>
      <c r="N1450" s="41"/>
      <c r="O1450" s="41"/>
      <c r="P1450" s="41"/>
      <c r="Q1450" s="41"/>
      <c r="R1450" s="41"/>
      <c r="S1450" s="41"/>
    </row>
    <row r="1451" spans="1:19" x14ac:dyDescent="0.3">
      <c r="A1451" s="41"/>
      <c r="B1451" s="41"/>
      <c r="C1451" s="41"/>
      <c r="D1451" s="41"/>
      <c r="E1451" s="41"/>
      <c r="F1451" s="41"/>
      <c r="G1451" s="41"/>
      <c r="H1451" s="41"/>
      <c r="I1451" s="41"/>
      <c r="J1451" s="41"/>
      <c r="K1451" s="41"/>
      <c r="L1451" s="41"/>
      <c r="M1451" s="41"/>
      <c r="N1451" s="41"/>
      <c r="O1451" s="41"/>
      <c r="P1451" s="41"/>
      <c r="Q1451" s="41"/>
      <c r="R1451" s="41"/>
      <c r="S1451" s="41"/>
    </row>
    <row r="1452" spans="1:19" x14ac:dyDescent="0.3">
      <c r="A1452" s="41"/>
      <c r="B1452" s="41"/>
      <c r="C1452" s="41"/>
      <c r="D1452" s="41"/>
      <c r="E1452" s="41"/>
      <c r="F1452" s="41"/>
      <c r="G1452" s="41"/>
      <c r="H1452" s="41"/>
      <c r="I1452" s="41"/>
      <c r="J1452" s="41"/>
      <c r="K1452" s="41"/>
      <c r="L1452" s="41"/>
      <c r="M1452" s="41"/>
      <c r="N1452" s="41"/>
      <c r="O1452" s="41"/>
      <c r="P1452" s="41"/>
      <c r="Q1452" s="41"/>
      <c r="R1452" s="41"/>
      <c r="S1452" s="41"/>
    </row>
    <row r="1453" spans="1:19" x14ac:dyDescent="0.3">
      <c r="A1453" s="41"/>
      <c r="B1453" s="41"/>
      <c r="C1453" s="41"/>
      <c r="D1453" s="41"/>
      <c r="E1453" s="41"/>
      <c r="F1453" s="41"/>
      <c r="G1453" s="41"/>
      <c r="H1453" s="41"/>
      <c r="I1453" s="41"/>
      <c r="J1453" s="41"/>
      <c r="K1453" s="41"/>
      <c r="L1453" s="41"/>
      <c r="M1453" s="41"/>
      <c r="N1453" s="41"/>
      <c r="O1453" s="41"/>
      <c r="P1453" s="41"/>
      <c r="Q1453" s="41"/>
      <c r="R1453" s="41"/>
      <c r="S1453" s="41"/>
    </row>
    <row r="1454" spans="1:19" x14ac:dyDescent="0.3">
      <c r="A1454" s="41"/>
      <c r="B1454" s="41"/>
      <c r="C1454" s="41"/>
      <c r="D1454" s="41"/>
      <c r="E1454" s="41"/>
      <c r="F1454" s="41"/>
      <c r="G1454" s="41"/>
      <c r="H1454" s="41"/>
      <c r="I1454" s="41"/>
      <c r="J1454" s="41"/>
      <c r="K1454" s="41"/>
      <c r="L1454" s="41"/>
      <c r="M1454" s="41"/>
      <c r="N1454" s="41"/>
      <c r="O1454" s="41"/>
      <c r="P1454" s="41"/>
      <c r="Q1454" s="41"/>
      <c r="R1454" s="41"/>
      <c r="S1454" s="41"/>
    </row>
    <row r="1455" spans="1:19" x14ac:dyDescent="0.3">
      <c r="A1455" s="41"/>
      <c r="B1455" s="41"/>
      <c r="C1455" s="41"/>
      <c r="D1455" s="41"/>
      <c r="E1455" s="41"/>
      <c r="F1455" s="41"/>
      <c r="G1455" s="41"/>
      <c r="H1455" s="41"/>
      <c r="I1455" s="41"/>
      <c r="J1455" s="41"/>
      <c r="K1455" s="41"/>
      <c r="L1455" s="41"/>
      <c r="M1455" s="41"/>
      <c r="N1455" s="41"/>
      <c r="O1455" s="41"/>
      <c r="P1455" s="41"/>
      <c r="Q1455" s="41"/>
      <c r="R1455" s="41"/>
      <c r="S1455" s="41"/>
    </row>
    <row r="1456" spans="1:19" x14ac:dyDescent="0.3">
      <c r="A1456" s="41"/>
      <c r="B1456" s="41"/>
      <c r="C1456" s="41"/>
      <c r="D1456" s="41"/>
      <c r="E1456" s="41"/>
      <c r="F1456" s="41"/>
      <c r="G1456" s="41"/>
      <c r="H1456" s="41"/>
      <c r="I1456" s="41"/>
      <c r="J1456" s="41"/>
      <c r="K1456" s="41"/>
      <c r="L1456" s="41"/>
      <c r="M1456" s="41"/>
      <c r="N1456" s="41"/>
      <c r="O1456" s="41"/>
      <c r="P1456" s="41"/>
      <c r="Q1456" s="41"/>
      <c r="R1456" s="41"/>
      <c r="S1456" s="41"/>
    </row>
    <row r="1457" spans="1:19" x14ac:dyDescent="0.3">
      <c r="A1457" s="41"/>
      <c r="B1457" s="41"/>
      <c r="C1457" s="41"/>
      <c r="D1457" s="41"/>
      <c r="E1457" s="41"/>
      <c r="F1457" s="41"/>
      <c r="G1457" s="41"/>
      <c r="H1457" s="41"/>
      <c r="I1457" s="41"/>
      <c r="J1457" s="41"/>
      <c r="K1457" s="41"/>
      <c r="L1457" s="41"/>
      <c r="M1457" s="41"/>
      <c r="N1457" s="41"/>
      <c r="O1457" s="41"/>
      <c r="P1457" s="41"/>
      <c r="Q1457" s="41"/>
      <c r="R1457" s="41"/>
      <c r="S1457" s="41"/>
    </row>
    <row r="1458" spans="1:19" x14ac:dyDescent="0.3">
      <c r="A1458" s="41"/>
      <c r="B1458" s="41"/>
      <c r="C1458" s="41"/>
      <c r="D1458" s="41"/>
      <c r="E1458" s="41"/>
      <c r="F1458" s="41"/>
      <c r="G1458" s="41"/>
      <c r="H1458" s="41"/>
      <c r="I1458" s="41"/>
      <c r="J1458" s="41"/>
      <c r="K1458" s="41"/>
      <c r="L1458" s="41"/>
      <c r="M1458" s="41"/>
      <c r="N1458" s="41"/>
      <c r="O1458" s="41"/>
      <c r="P1458" s="41"/>
      <c r="Q1458" s="41"/>
      <c r="R1458" s="41"/>
      <c r="S1458" s="41"/>
    </row>
    <row r="1459" spans="1:19" x14ac:dyDescent="0.3">
      <c r="A1459" s="41"/>
      <c r="B1459" s="41"/>
      <c r="C1459" s="41"/>
      <c r="D1459" s="41"/>
      <c r="E1459" s="41"/>
      <c r="F1459" s="41"/>
      <c r="G1459" s="41"/>
      <c r="H1459" s="41"/>
      <c r="I1459" s="41"/>
      <c r="J1459" s="41"/>
      <c r="K1459" s="41"/>
      <c r="L1459" s="41"/>
      <c r="M1459" s="41"/>
      <c r="N1459" s="41"/>
      <c r="O1459" s="41"/>
      <c r="P1459" s="41"/>
      <c r="Q1459" s="41"/>
      <c r="R1459" s="41"/>
      <c r="S1459" s="41"/>
    </row>
    <row r="1460" spans="1:19" x14ac:dyDescent="0.3">
      <c r="A1460" s="41"/>
      <c r="B1460" s="41"/>
      <c r="C1460" s="41"/>
      <c r="D1460" s="41"/>
      <c r="E1460" s="41"/>
      <c r="F1460" s="41"/>
      <c r="G1460" s="41"/>
      <c r="H1460" s="41"/>
      <c r="I1460" s="41"/>
      <c r="J1460" s="41"/>
      <c r="K1460" s="41"/>
      <c r="L1460" s="41"/>
      <c r="M1460" s="41"/>
      <c r="N1460" s="41"/>
      <c r="O1460" s="41"/>
      <c r="P1460" s="41"/>
      <c r="Q1460" s="41"/>
      <c r="R1460" s="41"/>
      <c r="S1460" s="41"/>
    </row>
    <row r="1461" spans="1:19" x14ac:dyDescent="0.3">
      <c r="A1461" s="41"/>
      <c r="B1461" s="41"/>
      <c r="C1461" s="41"/>
      <c r="D1461" s="41"/>
      <c r="E1461" s="41"/>
      <c r="F1461" s="41"/>
      <c r="G1461" s="41"/>
      <c r="H1461" s="41"/>
      <c r="I1461" s="41"/>
      <c r="J1461" s="41"/>
      <c r="K1461" s="41"/>
      <c r="L1461" s="41"/>
      <c r="M1461" s="41"/>
      <c r="N1461" s="41"/>
      <c r="O1461" s="41"/>
      <c r="P1461" s="41"/>
      <c r="Q1461" s="41"/>
      <c r="R1461" s="41"/>
      <c r="S1461" s="41"/>
    </row>
    <row r="1462" spans="1:19" x14ac:dyDescent="0.3">
      <c r="A1462" s="41"/>
      <c r="B1462" s="41"/>
      <c r="C1462" s="41"/>
      <c r="D1462" s="41"/>
      <c r="E1462" s="41"/>
      <c r="F1462" s="41"/>
      <c r="G1462" s="41"/>
      <c r="H1462" s="41"/>
      <c r="I1462" s="41"/>
      <c r="J1462" s="41"/>
      <c r="K1462" s="41"/>
      <c r="L1462" s="41"/>
      <c r="M1462" s="41"/>
      <c r="N1462" s="41"/>
      <c r="O1462" s="41"/>
      <c r="P1462" s="41"/>
      <c r="Q1462" s="41"/>
      <c r="R1462" s="41"/>
      <c r="S1462" s="41"/>
    </row>
    <row r="1463" spans="1:19" x14ac:dyDescent="0.3">
      <c r="A1463" s="41"/>
      <c r="B1463" s="41"/>
      <c r="C1463" s="41"/>
      <c r="D1463" s="41"/>
      <c r="E1463" s="41"/>
      <c r="F1463" s="41"/>
      <c r="G1463" s="41"/>
      <c r="H1463" s="41"/>
      <c r="I1463" s="41"/>
      <c r="J1463" s="41"/>
      <c r="K1463" s="41"/>
      <c r="L1463" s="41"/>
      <c r="M1463" s="41"/>
      <c r="N1463" s="41"/>
      <c r="O1463" s="41"/>
      <c r="P1463" s="41"/>
      <c r="Q1463" s="41"/>
      <c r="R1463" s="41"/>
      <c r="S1463" s="41"/>
    </row>
    <row r="1464" spans="1:19" x14ac:dyDescent="0.3">
      <c r="A1464" s="41"/>
      <c r="B1464" s="41"/>
      <c r="C1464" s="41"/>
      <c r="D1464" s="41"/>
      <c r="E1464" s="41"/>
      <c r="F1464" s="41"/>
      <c r="G1464" s="41"/>
      <c r="H1464" s="41"/>
      <c r="I1464" s="41"/>
      <c r="J1464" s="41"/>
      <c r="K1464" s="41"/>
      <c r="L1464" s="41"/>
      <c r="M1464" s="41"/>
      <c r="N1464" s="41"/>
      <c r="O1464" s="41"/>
      <c r="P1464" s="41"/>
      <c r="Q1464" s="41"/>
      <c r="R1464" s="41"/>
      <c r="S1464" s="41"/>
    </row>
    <row r="1465" spans="1:19" x14ac:dyDescent="0.3">
      <c r="A1465" s="41"/>
      <c r="B1465" s="41"/>
      <c r="C1465" s="41"/>
      <c r="D1465" s="41"/>
      <c r="E1465" s="41"/>
      <c r="F1465" s="41"/>
      <c r="G1465" s="41"/>
      <c r="H1465" s="41"/>
      <c r="I1465" s="41"/>
      <c r="J1465" s="41"/>
      <c r="K1465" s="41"/>
      <c r="L1465" s="41"/>
      <c r="M1465" s="41"/>
      <c r="N1465" s="41"/>
      <c r="O1465" s="41"/>
      <c r="P1465" s="41"/>
      <c r="Q1465" s="41"/>
      <c r="R1465" s="41"/>
      <c r="S1465" s="41"/>
    </row>
    <row r="1466" spans="1:19" x14ac:dyDescent="0.3">
      <c r="A1466" s="41"/>
      <c r="B1466" s="41"/>
      <c r="C1466" s="41"/>
      <c r="D1466" s="41"/>
      <c r="E1466" s="41"/>
      <c r="F1466" s="41"/>
      <c r="G1466" s="41"/>
      <c r="H1466" s="41"/>
      <c r="I1466" s="41"/>
      <c r="J1466" s="41"/>
      <c r="K1466" s="41"/>
      <c r="L1466" s="41"/>
      <c r="M1466" s="41"/>
      <c r="N1466" s="41"/>
      <c r="O1466" s="41"/>
      <c r="P1466" s="41"/>
      <c r="Q1466" s="41"/>
      <c r="R1466" s="41"/>
      <c r="S1466" s="41"/>
    </row>
    <row r="1467" spans="1:19" x14ac:dyDescent="0.3">
      <c r="A1467" s="41"/>
      <c r="B1467" s="41"/>
      <c r="C1467" s="41"/>
      <c r="D1467" s="41"/>
      <c r="E1467" s="41"/>
      <c r="F1467" s="41"/>
      <c r="G1467" s="41"/>
      <c r="H1467" s="41"/>
      <c r="I1467" s="41"/>
      <c r="J1467" s="41"/>
      <c r="K1467" s="41"/>
      <c r="L1467" s="41"/>
      <c r="M1467" s="41"/>
      <c r="N1467" s="41"/>
      <c r="O1467" s="41"/>
      <c r="P1467" s="41"/>
      <c r="Q1467" s="41"/>
      <c r="R1467" s="41"/>
      <c r="S1467" s="41"/>
    </row>
    <row r="1468" spans="1:19" x14ac:dyDescent="0.3">
      <c r="A1468" s="41"/>
      <c r="B1468" s="41"/>
      <c r="C1468" s="41"/>
      <c r="D1468" s="41"/>
      <c r="E1468" s="41"/>
      <c r="F1468" s="41"/>
      <c r="G1468" s="41"/>
      <c r="H1468" s="41"/>
      <c r="I1468" s="41"/>
      <c r="J1468" s="41"/>
      <c r="K1468" s="41"/>
      <c r="L1468" s="41"/>
      <c r="M1468" s="41"/>
      <c r="N1468" s="41"/>
      <c r="O1468" s="41"/>
      <c r="P1468" s="41"/>
      <c r="Q1468" s="41"/>
      <c r="R1468" s="41"/>
      <c r="S1468" s="41"/>
    </row>
    <row r="1469" spans="1:19" x14ac:dyDescent="0.3">
      <c r="A1469" s="41"/>
      <c r="B1469" s="41"/>
      <c r="C1469" s="41"/>
      <c r="D1469" s="41"/>
      <c r="E1469" s="41"/>
      <c r="F1469" s="41"/>
      <c r="G1469" s="41"/>
      <c r="H1469" s="41"/>
      <c r="I1469" s="41"/>
      <c r="J1469" s="41"/>
      <c r="K1469" s="41"/>
      <c r="L1469" s="41"/>
      <c r="M1469" s="41"/>
      <c r="N1469" s="41"/>
      <c r="O1469" s="41"/>
      <c r="P1469" s="41"/>
      <c r="Q1469" s="41"/>
      <c r="R1469" s="41"/>
      <c r="S1469" s="41"/>
    </row>
    <row r="1470" spans="1:19" x14ac:dyDescent="0.3">
      <c r="A1470" s="41"/>
      <c r="B1470" s="41"/>
      <c r="C1470" s="41"/>
      <c r="D1470" s="41"/>
      <c r="E1470" s="41"/>
      <c r="F1470" s="41"/>
      <c r="G1470" s="41"/>
      <c r="H1470" s="41"/>
      <c r="I1470" s="41"/>
      <c r="J1470" s="41"/>
      <c r="K1470" s="41"/>
      <c r="L1470" s="41"/>
      <c r="M1470" s="41"/>
      <c r="N1470" s="41"/>
      <c r="O1470" s="41"/>
      <c r="P1470" s="41"/>
      <c r="Q1470" s="41"/>
      <c r="R1470" s="41"/>
      <c r="S1470" s="41"/>
    </row>
    <row r="1471" spans="1:19" x14ac:dyDescent="0.3">
      <c r="A1471" s="41"/>
      <c r="B1471" s="41"/>
      <c r="C1471" s="41"/>
      <c r="D1471" s="41"/>
      <c r="E1471" s="41"/>
      <c r="F1471" s="41"/>
      <c r="G1471" s="41"/>
      <c r="H1471" s="41"/>
      <c r="I1471" s="41"/>
      <c r="J1471" s="41"/>
      <c r="K1471" s="41"/>
      <c r="L1471" s="41"/>
      <c r="M1471" s="41"/>
      <c r="N1471" s="41"/>
      <c r="O1471" s="41"/>
      <c r="P1471" s="41"/>
      <c r="Q1471" s="41"/>
      <c r="R1471" s="41"/>
      <c r="S1471" s="41"/>
    </row>
    <row r="1472" spans="1:19" x14ac:dyDescent="0.3">
      <c r="A1472" s="41"/>
      <c r="B1472" s="41"/>
      <c r="C1472" s="41"/>
      <c r="D1472" s="41"/>
      <c r="E1472" s="41"/>
      <c r="F1472" s="41"/>
      <c r="G1472" s="41"/>
      <c r="H1472" s="41"/>
      <c r="I1472" s="41"/>
      <c r="J1472" s="41"/>
      <c r="K1472" s="41"/>
      <c r="L1472" s="41"/>
      <c r="M1472" s="41"/>
      <c r="N1472" s="41"/>
      <c r="O1472" s="41"/>
      <c r="P1472" s="41"/>
      <c r="Q1472" s="41"/>
      <c r="R1472" s="41"/>
      <c r="S1472" s="41"/>
    </row>
    <row r="1473" spans="1:19" x14ac:dyDescent="0.3">
      <c r="A1473" s="41"/>
      <c r="B1473" s="41"/>
      <c r="C1473" s="41"/>
      <c r="D1473" s="41"/>
      <c r="E1473" s="41"/>
      <c r="F1473" s="41"/>
      <c r="G1473" s="41"/>
      <c r="H1473" s="41"/>
      <c r="I1473" s="41"/>
      <c r="J1473" s="41"/>
      <c r="K1473" s="41"/>
      <c r="L1473" s="41"/>
      <c r="M1473" s="41"/>
      <c r="N1473" s="41"/>
      <c r="O1473" s="41"/>
      <c r="P1473" s="41"/>
      <c r="Q1473" s="41"/>
      <c r="R1473" s="41"/>
      <c r="S1473" s="41"/>
    </row>
    <row r="1474" spans="1:19" x14ac:dyDescent="0.3">
      <c r="A1474" s="41"/>
      <c r="B1474" s="41"/>
      <c r="C1474" s="41"/>
      <c r="D1474" s="41"/>
      <c r="E1474" s="41"/>
      <c r="F1474" s="41"/>
      <c r="G1474" s="41"/>
      <c r="H1474" s="41"/>
      <c r="I1474" s="41"/>
      <c r="J1474" s="41"/>
      <c r="K1474" s="41"/>
      <c r="L1474" s="41"/>
      <c r="M1474" s="41"/>
      <c r="N1474" s="41"/>
      <c r="O1474" s="41"/>
      <c r="P1474" s="41"/>
      <c r="Q1474" s="41"/>
      <c r="R1474" s="41"/>
      <c r="S1474" s="41"/>
    </row>
    <row r="1475" spans="1:19" x14ac:dyDescent="0.3">
      <c r="A1475" s="41"/>
      <c r="B1475" s="41"/>
      <c r="C1475" s="41"/>
      <c r="D1475" s="41"/>
      <c r="E1475" s="41"/>
      <c r="F1475" s="41"/>
      <c r="G1475" s="41"/>
      <c r="H1475" s="41"/>
      <c r="I1475" s="41"/>
      <c r="J1475" s="41"/>
      <c r="K1475" s="41"/>
      <c r="L1475" s="41"/>
      <c r="M1475" s="41"/>
      <c r="N1475" s="41"/>
      <c r="O1475" s="41"/>
      <c r="P1475" s="41"/>
      <c r="Q1475" s="41"/>
      <c r="R1475" s="41"/>
      <c r="S1475" s="41"/>
    </row>
    <row r="1476" spans="1:19" x14ac:dyDescent="0.3">
      <c r="A1476" s="41"/>
      <c r="B1476" s="41"/>
      <c r="C1476" s="41"/>
      <c r="D1476" s="41"/>
      <c r="E1476" s="41"/>
      <c r="F1476" s="41"/>
      <c r="G1476" s="41"/>
      <c r="H1476" s="41"/>
      <c r="I1476" s="41"/>
      <c r="J1476" s="41"/>
      <c r="K1476" s="41"/>
      <c r="L1476" s="41"/>
      <c r="M1476" s="41"/>
      <c r="N1476" s="41"/>
      <c r="O1476" s="41"/>
      <c r="P1476" s="41"/>
      <c r="Q1476" s="41"/>
      <c r="R1476" s="41"/>
      <c r="S1476" s="41"/>
    </row>
    <row r="1477" spans="1:19" x14ac:dyDescent="0.3">
      <c r="A1477" s="41"/>
      <c r="B1477" s="41"/>
      <c r="C1477" s="41"/>
      <c r="D1477" s="41"/>
      <c r="E1477" s="41"/>
      <c r="F1477" s="41"/>
      <c r="G1477" s="41"/>
      <c r="H1477" s="41"/>
      <c r="I1477" s="41"/>
      <c r="J1477" s="41"/>
      <c r="K1477" s="41"/>
      <c r="L1477" s="41"/>
      <c r="M1477" s="41"/>
      <c r="N1477" s="41"/>
      <c r="O1477" s="41"/>
      <c r="P1477" s="41"/>
      <c r="Q1477" s="41"/>
      <c r="R1477" s="41"/>
      <c r="S1477" s="41"/>
    </row>
    <row r="1478" spans="1:19" x14ac:dyDescent="0.3">
      <c r="A1478" s="41"/>
      <c r="B1478" s="41"/>
      <c r="C1478" s="41"/>
      <c r="D1478" s="41"/>
      <c r="E1478" s="41"/>
      <c r="F1478" s="41"/>
      <c r="G1478" s="41"/>
      <c r="H1478" s="41"/>
      <c r="I1478" s="41"/>
      <c r="J1478" s="41"/>
      <c r="K1478" s="41"/>
      <c r="L1478" s="41"/>
      <c r="M1478" s="41"/>
      <c r="N1478" s="41"/>
      <c r="O1478" s="41"/>
      <c r="P1478" s="41"/>
      <c r="Q1478" s="41"/>
      <c r="R1478" s="41"/>
      <c r="S1478" s="41"/>
    </row>
    <row r="1479" spans="1:19" x14ac:dyDescent="0.3">
      <c r="A1479" s="41"/>
      <c r="B1479" s="41"/>
      <c r="C1479" s="41"/>
      <c r="D1479" s="41"/>
      <c r="E1479" s="41"/>
      <c r="F1479" s="41"/>
      <c r="G1479" s="41"/>
      <c r="H1479" s="41"/>
      <c r="I1479" s="41"/>
      <c r="J1479" s="41"/>
      <c r="K1479" s="41"/>
      <c r="L1479" s="41"/>
      <c r="M1479" s="41"/>
      <c r="N1479" s="41"/>
      <c r="O1479" s="41"/>
      <c r="P1479" s="41"/>
      <c r="Q1479" s="41"/>
      <c r="R1479" s="41"/>
      <c r="S1479" s="41"/>
    </row>
    <row r="1480" spans="1:19" x14ac:dyDescent="0.3">
      <c r="A1480" s="41"/>
      <c r="B1480" s="41"/>
      <c r="C1480" s="41"/>
      <c r="D1480" s="41"/>
      <c r="E1480" s="41"/>
      <c r="F1480" s="41"/>
      <c r="G1480" s="41"/>
      <c r="H1480" s="41"/>
      <c r="I1480" s="41"/>
      <c r="J1480" s="41"/>
      <c r="K1480" s="41"/>
      <c r="L1480" s="41"/>
      <c r="M1480" s="41"/>
      <c r="N1480" s="41"/>
      <c r="O1480" s="41"/>
      <c r="P1480" s="41"/>
      <c r="Q1480" s="41"/>
      <c r="R1480" s="41"/>
      <c r="S1480" s="41"/>
    </row>
    <row r="1481" spans="1:19" x14ac:dyDescent="0.3">
      <c r="A1481" s="41"/>
      <c r="B1481" s="41"/>
      <c r="C1481" s="41"/>
      <c r="D1481" s="41"/>
      <c r="E1481" s="41"/>
      <c r="F1481" s="41"/>
      <c r="G1481" s="41"/>
      <c r="H1481" s="41"/>
      <c r="I1481" s="41"/>
      <c r="J1481" s="41"/>
      <c r="K1481" s="41"/>
      <c r="L1481" s="41"/>
      <c r="M1481" s="41"/>
      <c r="N1481" s="41"/>
      <c r="O1481" s="41"/>
      <c r="P1481" s="41"/>
      <c r="Q1481" s="41"/>
      <c r="R1481" s="41"/>
      <c r="S1481" s="41"/>
    </row>
    <row r="1482" spans="1:19" x14ac:dyDescent="0.3">
      <c r="A1482" s="41"/>
      <c r="B1482" s="41"/>
      <c r="C1482" s="41"/>
      <c r="D1482" s="41"/>
      <c r="E1482" s="41"/>
      <c r="F1482" s="41"/>
      <c r="G1482" s="41"/>
      <c r="H1482" s="41"/>
      <c r="I1482" s="41"/>
      <c r="J1482" s="41"/>
      <c r="K1482" s="41"/>
      <c r="L1482" s="41"/>
      <c r="M1482" s="41"/>
      <c r="N1482" s="41"/>
      <c r="O1482" s="41"/>
      <c r="P1482" s="41"/>
      <c r="Q1482" s="41"/>
      <c r="R1482" s="41"/>
      <c r="S1482" s="41"/>
    </row>
    <row r="1483" spans="1:19" x14ac:dyDescent="0.3">
      <c r="A1483" s="41"/>
      <c r="B1483" s="41"/>
      <c r="C1483" s="41"/>
      <c r="D1483" s="41"/>
      <c r="E1483" s="41"/>
      <c r="F1483" s="41"/>
      <c r="G1483" s="41"/>
      <c r="H1483" s="41"/>
      <c r="I1483" s="41"/>
      <c r="J1483" s="41"/>
      <c r="K1483" s="41"/>
      <c r="L1483" s="41"/>
      <c r="M1483" s="41"/>
      <c r="N1483" s="41"/>
      <c r="O1483" s="41"/>
      <c r="P1483" s="41"/>
      <c r="Q1483" s="41"/>
      <c r="R1483" s="41"/>
      <c r="S1483" s="41"/>
    </row>
    <row r="1484" spans="1:19" x14ac:dyDescent="0.3">
      <c r="A1484" s="41"/>
      <c r="B1484" s="41"/>
      <c r="C1484" s="41"/>
      <c r="D1484" s="41"/>
      <c r="E1484" s="41"/>
      <c r="F1484" s="41"/>
      <c r="G1484" s="41"/>
      <c r="H1484" s="41"/>
      <c r="I1484" s="41"/>
      <c r="J1484" s="41"/>
      <c r="K1484" s="41"/>
      <c r="L1484" s="41"/>
      <c r="M1484" s="41"/>
      <c r="N1484" s="41"/>
      <c r="O1484" s="41"/>
      <c r="P1484" s="41"/>
      <c r="Q1484" s="41"/>
      <c r="R1484" s="41"/>
      <c r="S1484" s="41"/>
    </row>
    <row r="1485" spans="1:19" x14ac:dyDescent="0.3">
      <c r="A1485" s="41"/>
      <c r="B1485" s="41"/>
      <c r="C1485" s="41"/>
      <c r="D1485" s="41"/>
      <c r="E1485" s="41"/>
      <c r="F1485" s="41"/>
      <c r="G1485" s="41"/>
      <c r="H1485" s="41"/>
      <c r="I1485" s="41"/>
      <c r="J1485" s="41"/>
      <c r="K1485" s="41"/>
      <c r="L1485" s="41"/>
      <c r="M1485" s="41"/>
      <c r="N1485" s="41"/>
      <c r="O1485" s="41"/>
      <c r="P1485" s="41"/>
      <c r="Q1485" s="41"/>
      <c r="R1485" s="41"/>
      <c r="S1485" s="41"/>
    </row>
    <row r="1486" spans="1:19" x14ac:dyDescent="0.3">
      <c r="A1486" s="41"/>
      <c r="B1486" s="41"/>
      <c r="C1486" s="41"/>
      <c r="D1486" s="41"/>
      <c r="E1486" s="41"/>
      <c r="F1486" s="41"/>
      <c r="G1486" s="41"/>
      <c r="H1486" s="41"/>
      <c r="I1486" s="41"/>
      <c r="J1486" s="41"/>
      <c r="K1486" s="41"/>
      <c r="L1486" s="41"/>
      <c r="M1486" s="41"/>
      <c r="N1486" s="41"/>
      <c r="O1486" s="41"/>
      <c r="P1486" s="41"/>
      <c r="Q1486" s="41"/>
      <c r="R1486" s="41"/>
      <c r="S1486" s="41"/>
    </row>
    <row r="1487" spans="1:19" x14ac:dyDescent="0.3">
      <c r="A1487" s="41"/>
      <c r="B1487" s="41"/>
      <c r="C1487" s="41"/>
      <c r="D1487" s="41"/>
      <c r="E1487" s="41"/>
      <c r="F1487" s="41"/>
      <c r="G1487" s="41"/>
      <c r="H1487" s="41"/>
      <c r="I1487" s="41"/>
      <c r="J1487" s="41"/>
      <c r="K1487" s="41"/>
      <c r="L1487" s="41"/>
      <c r="M1487" s="41"/>
      <c r="N1487" s="41"/>
      <c r="O1487" s="41"/>
      <c r="P1487" s="41"/>
      <c r="Q1487" s="41"/>
      <c r="R1487" s="41"/>
      <c r="S1487" s="41"/>
    </row>
    <row r="1488" spans="1:19" x14ac:dyDescent="0.3">
      <c r="A1488" s="41"/>
      <c r="B1488" s="41"/>
      <c r="C1488" s="41"/>
      <c r="D1488" s="41"/>
      <c r="E1488" s="41"/>
      <c r="F1488" s="41"/>
      <c r="G1488" s="41"/>
      <c r="H1488" s="41"/>
      <c r="I1488" s="41"/>
      <c r="J1488" s="41"/>
      <c r="K1488" s="41"/>
      <c r="L1488" s="41"/>
      <c r="M1488" s="41"/>
      <c r="N1488" s="41"/>
      <c r="O1488" s="41"/>
      <c r="P1488" s="41"/>
      <c r="Q1488" s="41"/>
      <c r="R1488" s="41"/>
      <c r="S1488" s="41"/>
    </row>
    <row r="1489" spans="1:19" x14ac:dyDescent="0.3">
      <c r="A1489" s="41"/>
      <c r="B1489" s="41"/>
      <c r="C1489" s="41"/>
      <c r="D1489" s="41"/>
      <c r="E1489" s="41"/>
      <c r="F1489" s="41"/>
      <c r="G1489" s="41"/>
      <c r="H1489" s="41"/>
      <c r="I1489" s="41"/>
      <c r="J1489" s="41"/>
      <c r="K1489" s="41"/>
      <c r="L1489" s="41"/>
      <c r="M1489" s="41"/>
      <c r="N1489" s="41"/>
      <c r="O1489" s="41"/>
      <c r="P1489" s="41"/>
      <c r="Q1489" s="41"/>
      <c r="R1489" s="41"/>
      <c r="S1489" s="41"/>
    </row>
    <row r="1490" spans="1:19" x14ac:dyDescent="0.3">
      <c r="A1490" s="41"/>
      <c r="B1490" s="41"/>
      <c r="C1490" s="41"/>
      <c r="D1490" s="41"/>
      <c r="E1490" s="41"/>
      <c r="F1490" s="41"/>
      <c r="G1490" s="41"/>
      <c r="H1490" s="41"/>
      <c r="I1490" s="41"/>
      <c r="J1490" s="41"/>
      <c r="K1490" s="41"/>
      <c r="L1490" s="41"/>
      <c r="M1490" s="41"/>
      <c r="N1490" s="41"/>
      <c r="O1490" s="41"/>
      <c r="P1490" s="41"/>
      <c r="Q1490" s="41"/>
      <c r="R1490" s="41"/>
      <c r="S1490" s="41"/>
    </row>
    <row r="1491" spans="1:19" x14ac:dyDescent="0.3">
      <c r="A1491" s="41"/>
      <c r="B1491" s="41"/>
      <c r="C1491" s="41"/>
      <c r="D1491" s="41"/>
      <c r="E1491" s="41"/>
      <c r="F1491" s="41"/>
      <c r="G1491" s="41"/>
      <c r="H1491" s="41"/>
      <c r="I1491" s="41"/>
      <c r="J1491" s="41"/>
      <c r="K1491" s="41"/>
      <c r="L1491" s="41"/>
      <c r="M1491" s="41"/>
      <c r="N1491" s="41"/>
      <c r="O1491" s="41"/>
      <c r="P1491" s="41"/>
      <c r="Q1491" s="41"/>
      <c r="R1491" s="41"/>
      <c r="S1491" s="41"/>
    </row>
    <row r="1492" spans="1:19" x14ac:dyDescent="0.3">
      <c r="A1492" s="41"/>
      <c r="B1492" s="41"/>
      <c r="C1492" s="41"/>
      <c r="D1492" s="41"/>
      <c r="E1492" s="41"/>
      <c r="F1492" s="41"/>
      <c r="G1492" s="41"/>
      <c r="H1492" s="41"/>
      <c r="I1492" s="41"/>
      <c r="J1492" s="41"/>
      <c r="K1492" s="41"/>
      <c r="L1492" s="41"/>
      <c r="M1492" s="41"/>
      <c r="N1492" s="41"/>
      <c r="O1492" s="41"/>
      <c r="P1492" s="41"/>
      <c r="Q1492" s="41"/>
      <c r="R1492" s="41"/>
      <c r="S1492" s="41"/>
    </row>
    <row r="1493" spans="1:19" x14ac:dyDescent="0.3">
      <c r="A1493" s="41"/>
      <c r="B1493" s="41"/>
      <c r="C1493" s="41"/>
      <c r="D1493" s="41"/>
      <c r="E1493" s="41"/>
      <c r="F1493" s="41"/>
      <c r="G1493" s="41"/>
      <c r="H1493" s="41"/>
      <c r="I1493" s="41"/>
      <c r="J1493" s="41"/>
      <c r="K1493" s="41"/>
      <c r="L1493" s="41"/>
      <c r="M1493" s="41"/>
      <c r="N1493" s="41"/>
      <c r="O1493" s="41"/>
      <c r="P1493" s="41"/>
      <c r="Q1493" s="41"/>
      <c r="R1493" s="41"/>
      <c r="S1493" s="41"/>
    </row>
    <row r="1494" spans="1:19" x14ac:dyDescent="0.3">
      <c r="A1494" s="41"/>
      <c r="B1494" s="41"/>
      <c r="C1494" s="41"/>
      <c r="D1494" s="41"/>
      <c r="E1494" s="41"/>
      <c r="F1494" s="41"/>
      <c r="G1494" s="41"/>
      <c r="H1494" s="41"/>
      <c r="I1494" s="41"/>
      <c r="J1494" s="41"/>
      <c r="K1494" s="41"/>
      <c r="L1494" s="41"/>
      <c r="M1494" s="41"/>
      <c r="N1494" s="41"/>
      <c r="O1494" s="41"/>
      <c r="P1494" s="41"/>
      <c r="Q1494" s="41"/>
      <c r="R1494" s="41"/>
      <c r="S1494" s="41"/>
    </row>
    <row r="1495" spans="1:19" x14ac:dyDescent="0.3">
      <c r="A1495" s="41"/>
      <c r="B1495" s="41"/>
      <c r="C1495" s="41"/>
      <c r="D1495" s="41"/>
      <c r="E1495" s="41"/>
      <c r="F1495" s="41"/>
      <c r="G1495" s="41"/>
      <c r="H1495" s="41"/>
      <c r="I1495" s="41"/>
      <c r="J1495" s="41"/>
      <c r="K1495" s="41"/>
      <c r="L1495" s="41"/>
      <c r="M1495" s="41"/>
      <c r="N1495" s="41"/>
      <c r="O1495" s="41"/>
      <c r="P1495" s="41"/>
      <c r="Q1495" s="41"/>
      <c r="R1495" s="41"/>
      <c r="S1495" s="41"/>
    </row>
    <row r="1496" spans="1:19" x14ac:dyDescent="0.3">
      <c r="A1496" s="41"/>
      <c r="B1496" s="41"/>
      <c r="C1496" s="41"/>
      <c r="D1496" s="41"/>
      <c r="E1496" s="41"/>
      <c r="F1496" s="41"/>
      <c r="G1496" s="41"/>
      <c r="H1496" s="41"/>
      <c r="I1496" s="41"/>
      <c r="J1496" s="41"/>
      <c r="K1496" s="41"/>
      <c r="L1496" s="41"/>
      <c r="M1496" s="41"/>
      <c r="N1496" s="41"/>
      <c r="O1496" s="41"/>
      <c r="P1496" s="41"/>
      <c r="Q1496" s="41"/>
      <c r="R1496" s="41"/>
      <c r="S1496" s="41"/>
    </row>
    <row r="1497" spans="1:19" x14ac:dyDescent="0.3">
      <c r="A1497" s="41"/>
      <c r="B1497" s="41"/>
      <c r="C1497" s="41"/>
      <c r="D1497" s="41"/>
      <c r="E1497" s="41"/>
      <c r="F1497" s="41"/>
      <c r="G1497" s="41"/>
      <c r="H1497" s="41"/>
      <c r="I1497" s="41"/>
      <c r="J1497" s="41"/>
      <c r="K1497" s="41"/>
      <c r="L1497" s="41"/>
      <c r="M1497" s="41"/>
      <c r="N1497" s="41"/>
      <c r="O1497" s="41"/>
      <c r="P1497" s="41"/>
      <c r="Q1497" s="41"/>
      <c r="R1497" s="41"/>
      <c r="S1497" s="41"/>
    </row>
    <row r="1498" spans="1:19" x14ac:dyDescent="0.3">
      <c r="A1498" s="41"/>
      <c r="B1498" s="41"/>
      <c r="C1498" s="41"/>
      <c r="D1498" s="41"/>
      <c r="E1498" s="41"/>
      <c r="F1498" s="41"/>
      <c r="G1498" s="41"/>
      <c r="H1498" s="41"/>
      <c r="I1498" s="41"/>
      <c r="J1498" s="41"/>
      <c r="K1498" s="41"/>
      <c r="L1498" s="41"/>
      <c r="M1498" s="41"/>
      <c r="N1498" s="41"/>
      <c r="O1498" s="41"/>
      <c r="P1498" s="41"/>
      <c r="Q1498" s="41"/>
      <c r="R1498" s="41"/>
      <c r="S1498" s="41"/>
    </row>
    <row r="1499" spans="1:19" x14ac:dyDescent="0.3">
      <c r="A1499" s="41"/>
      <c r="B1499" s="41"/>
      <c r="C1499" s="41"/>
      <c r="D1499" s="41"/>
      <c r="E1499" s="41"/>
      <c r="F1499" s="41"/>
      <c r="G1499" s="41"/>
      <c r="H1499" s="41"/>
      <c r="I1499" s="41"/>
      <c r="J1499" s="41"/>
      <c r="K1499" s="41"/>
      <c r="L1499" s="41"/>
      <c r="M1499" s="41"/>
      <c r="N1499" s="41"/>
      <c r="O1499" s="41"/>
      <c r="P1499" s="41"/>
      <c r="Q1499" s="41"/>
      <c r="R1499" s="41"/>
      <c r="S1499" s="41"/>
    </row>
    <row r="1500" spans="1:19" x14ac:dyDescent="0.3">
      <c r="A1500" s="41"/>
      <c r="B1500" s="41"/>
      <c r="C1500" s="41"/>
      <c r="D1500" s="41"/>
      <c r="E1500" s="41"/>
      <c r="F1500" s="41"/>
      <c r="G1500" s="41"/>
      <c r="H1500" s="41"/>
      <c r="I1500" s="41"/>
      <c r="J1500" s="41"/>
      <c r="K1500" s="41"/>
      <c r="L1500" s="41"/>
      <c r="M1500" s="41"/>
      <c r="N1500" s="41"/>
      <c r="O1500" s="41"/>
      <c r="P1500" s="41"/>
      <c r="Q1500" s="41"/>
      <c r="R1500" s="41"/>
      <c r="S1500" s="41"/>
    </row>
    <row r="1501" spans="1:19" x14ac:dyDescent="0.3">
      <c r="A1501" s="41"/>
      <c r="B1501" s="41"/>
      <c r="C1501" s="41"/>
      <c r="D1501" s="41"/>
      <c r="E1501" s="41"/>
      <c r="F1501" s="41"/>
      <c r="G1501" s="41"/>
      <c r="H1501" s="41"/>
      <c r="I1501" s="41"/>
      <c r="J1501" s="41"/>
      <c r="K1501" s="41"/>
      <c r="L1501" s="41"/>
      <c r="M1501" s="41"/>
      <c r="N1501" s="41"/>
      <c r="O1501" s="41"/>
      <c r="P1501" s="41"/>
      <c r="Q1501" s="41"/>
      <c r="R1501" s="41"/>
      <c r="S1501" s="41"/>
    </row>
    <row r="1502" spans="1:19" x14ac:dyDescent="0.3">
      <c r="A1502" s="41"/>
      <c r="B1502" s="41"/>
      <c r="C1502" s="41"/>
      <c r="D1502" s="41"/>
      <c r="E1502" s="41"/>
      <c r="F1502" s="41"/>
      <c r="G1502" s="41"/>
      <c r="H1502" s="41"/>
      <c r="I1502" s="41"/>
      <c r="J1502" s="41"/>
      <c r="K1502" s="41"/>
      <c r="L1502" s="41"/>
      <c r="M1502" s="41"/>
      <c r="N1502" s="41"/>
      <c r="O1502" s="41"/>
      <c r="P1502" s="41"/>
      <c r="Q1502" s="41"/>
      <c r="R1502" s="41"/>
      <c r="S1502" s="41"/>
    </row>
    <row r="1503" spans="1:19" x14ac:dyDescent="0.3">
      <c r="A1503" s="41"/>
      <c r="B1503" s="41"/>
      <c r="C1503" s="41"/>
      <c r="D1503" s="41"/>
      <c r="E1503" s="41"/>
      <c r="F1503" s="41"/>
      <c r="G1503" s="41"/>
      <c r="H1503" s="41"/>
      <c r="I1503" s="41"/>
      <c r="J1503" s="41"/>
      <c r="K1503" s="41"/>
      <c r="L1503" s="41"/>
      <c r="M1503" s="41"/>
      <c r="N1503" s="41"/>
      <c r="O1503" s="41"/>
      <c r="P1503" s="41"/>
      <c r="Q1503" s="41"/>
      <c r="R1503" s="41"/>
      <c r="S1503" s="41"/>
    </row>
    <row r="1504" spans="1:19" x14ac:dyDescent="0.3">
      <c r="A1504" s="41"/>
      <c r="B1504" s="41"/>
      <c r="C1504" s="41"/>
      <c r="D1504" s="41"/>
      <c r="E1504" s="41"/>
      <c r="F1504" s="41"/>
      <c r="G1504" s="41"/>
      <c r="H1504" s="41"/>
      <c r="I1504" s="41"/>
      <c r="J1504" s="41"/>
      <c r="K1504" s="41"/>
      <c r="L1504" s="41"/>
      <c r="M1504" s="41"/>
      <c r="N1504" s="41"/>
      <c r="O1504" s="41"/>
      <c r="P1504" s="41"/>
      <c r="Q1504" s="41"/>
      <c r="R1504" s="41"/>
      <c r="S1504" s="41"/>
    </row>
    <row r="1505" spans="1:19" x14ac:dyDescent="0.3">
      <c r="A1505" s="41"/>
      <c r="B1505" s="41"/>
      <c r="C1505" s="41"/>
      <c r="D1505" s="41"/>
      <c r="E1505" s="41"/>
      <c r="F1505" s="41"/>
      <c r="G1505" s="41"/>
      <c r="H1505" s="41"/>
      <c r="I1505" s="41"/>
      <c r="J1505" s="41"/>
      <c r="K1505" s="41"/>
      <c r="L1505" s="41"/>
      <c r="M1505" s="41"/>
      <c r="N1505" s="41"/>
      <c r="O1505" s="41"/>
      <c r="P1505" s="41"/>
      <c r="Q1505" s="41"/>
      <c r="R1505" s="41"/>
      <c r="S1505" s="41"/>
    </row>
    <row r="1506" spans="1:19" x14ac:dyDescent="0.3">
      <c r="A1506" s="41"/>
      <c r="B1506" s="41"/>
      <c r="C1506" s="41"/>
      <c r="D1506" s="41"/>
      <c r="E1506" s="41"/>
      <c r="F1506" s="41"/>
      <c r="G1506" s="41"/>
      <c r="H1506" s="41"/>
      <c r="I1506" s="41"/>
      <c r="J1506" s="41"/>
      <c r="K1506" s="41"/>
      <c r="L1506" s="41"/>
      <c r="M1506" s="41"/>
      <c r="N1506" s="41"/>
      <c r="O1506" s="41"/>
      <c r="P1506" s="41"/>
      <c r="Q1506" s="41"/>
      <c r="R1506" s="41"/>
      <c r="S1506" s="41"/>
    </row>
    <row r="1507" spans="1:19" x14ac:dyDescent="0.3">
      <c r="A1507" s="41"/>
      <c r="B1507" s="41"/>
      <c r="C1507" s="41"/>
      <c r="D1507" s="41"/>
      <c r="E1507" s="41"/>
      <c r="F1507" s="41"/>
      <c r="G1507" s="41"/>
      <c r="H1507" s="41"/>
      <c r="I1507" s="41"/>
      <c r="J1507" s="41"/>
      <c r="K1507" s="41"/>
      <c r="L1507" s="41"/>
      <c r="M1507" s="41"/>
      <c r="N1507" s="41"/>
      <c r="O1507" s="41"/>
      <c r="P1507" s="41"/>
      <c r="Q1507" s="41"/>
      <c r="R1507" s="41"/>
      <c r="S1507" s="41"/>
    </row>
    <row r="1508" spans="1:19" x14ac:dyDescent="0.3">
      <c r="A1508" s="41"/>
      <c r="B1508" s="41"/>
      <c r="C1508" s="41"/>
      <c r="D1508" s="41"/>
      <c r="E1508" s="41"/>
      <c r="F1508" s="41"/>
      <c r="G1508" s="41"/>
      <c r="H1508" s="41"/>
      <c r="I1508" s="41"/>
      <c r="J1508" s="41"/>
      <c r="K1508" s="41"/>
      <c r="L1508" s="41"/>
      <c r="M1508" s="41"/>
      <c r="N1508" s="41"/>
      <c r="O1508" s="41"/>
      <c r="P1508" s="41"/>
      <c r="Q1508" s="41"/>
      <c r="R1508" s="41"/>
      <c r="S1508" s="41"/>
    </row>
    <row r="1509" spans="1:19" x14ac:dyDescent="0.3">
      <c r="A1509" s="41"/>
      <c r="B1509" s="41"/>
      <c r="C1509" s="41"/>
      <c r="D1509" s="41"/>
      <c r="E1509" s="41"/>
      <c r="F1509" s="41"/>
      <c r="G1509" s="41"/>
      <c r="H1509" s="41"/>
      <c r="I1509" s="41"/>
      <c r="J1509" s="41"/>
      <c r="K1509" s="41"/>
      <c r="L1509" s="41"/>
      <c r="M1509" s="41"/>
      <c r="N1509" s="41"/>
      <c r="O1509" s="41"/>
      <c r="P1509" s="41"/>
      <c r="Q1509" s="41"/>
      <c r="R1509" s="41"/>
      <c r="S1509" s="41"/>
    </row>
    <row r="1510" spans="1:19" x14ac:dyDescent="0.3">
      <c r="A1510" s="41"/>
      <c r="B1510" s="41"/>
      <c r="C1510" s="41"/>
      <c r="D1510" s="41"/>
      <c r="E1510" s="41"/>
      <c r="F1510" s="41"/>
      <c r="G1510" s="41"/>
      <c r="H1510" s="41"/>
      <c r="I1510" s="41"/>
      <c r="J1510" s="41"/>
      <c r="K1510" s="41"/>
      <c r="L1510" s="41"/>
      <c r="M1510" s="41"/>
      <c r="N1510" s="41"/>
      <c r="O1510" s="41"/>
      <c r="P1510" s="41"/>
      <c r="Q1510" s="41"/>
      <c r="R1510" s="41"/>
      <c r="S1510" s="41"/>
    </row>
    <row r="1511" spans="1:19" x14ac:dyDescent="0.3">
      <c r="A1511" s="41"/>
      <c r="B1511" s="41"/>
      <c r="C1511" s="41"/>
      <c r="D1511" s="41"/>
      <c r="E1511" s="41"/>
      <c r="F1511" s="41"/>
      <c r="G1511" s="41"/>
      <c r="H1511" s="41"/>
      <c r="I1511" s="41"/>
      <c r="J1511" s="41"/>
      <c r="K1511" s="41"/>
      <c r="L1511" s="41"/>
      <c r="M1511" s="41"/>
      <c r="N1511" s="41"/>
      <c r="O1511" s="41"/>
      <c r="P1511" s="41"/>
      <c r="Q1511" s="41"/>
      <c r="R1511" s="41"/>
      <c r="S1511" s="41"/>
    </row>
    <row r="1512" spans="1:19" x14ac:dyDescent="0.3">
      <c r="A1512" s="41"/>
      <c r="B1512" s="41"/>
      <c r="C1512" s="41"/>
      <c r="D1512" s="41"/>
      <c r="E1512" s="41"/>
      <c r="F1512" s="41"/>
      <c r="G1512" s="41"/>
      <c r="H1512" s="41"/>
      <c r="I1512" s="41"/>
      <c r="J1512" s="41"/>
      <c r="K1512" s="41"/>
      <c r="L1512" s="41"/>
      <c r="M1512" s="41"/>
      <c r="N1512" s="41"/>
      <c r="O1512" s="41"/>
      <c r="P1512" s="41"/>
      <c r="Q1512" s="41"/>
      <c r="R1512" s="41"/>
      <c r="S1512" s="41"/>
    </row>
    <row r="1513" spans="1:19" x14ac:dyDescent="0.3">
      <c r="A1513" s="41"/>
      <c r="B1513" s="41"/>
      <c r="C1513" s="41"/>
      <c r="D1513" s="41"/>
      <c r="E1513" s="41"/>
      <c r="F1513" s="41"/>
      <c r="G1513" s="41"/>
      <c r="H1513" s="41"/>
      <c r="I1513" s="41"/>
      <c r="J1513" s="41"/>
      <c r="K1513" s="41"/>
      <c r="L1513" s="41"/>
      <c r="M1513" s="41"/>
      <c r="N1513" s="41"/>
      <c r="O1513" s="41"/>
      <c r="P1513" s="41"/>
      <c r="Q1513" s="41"/>
      <c r="R1513" s="41"/>
      <c r="S1513" s="41"/>
    </row>
    <row r="1514" spans="1:19" x14ac:dyDescent="0.3">
      <c r="A1514" s="41"/>
      <c r="B1514" s="41"/>
      <c r="C1514" s="41"/>
      <c r="D1514" s="41"/>
      <c r="E1514" s="41"/>
      <c r="F1514" s="41"/>
      <c r="G1514" s="41"/>
      <c r="H1514" s="41"/>
      <c r="I1514" s="41"/>
      <c r="J1514" s="41"/>
      <c r="K1514" s="41"/>
      <c r="L1514" s="41"/>
      <c r="M1514" s="41"/>
      <c r="N1514" s="41"/>
      <c r="O1514" s="41"/>
      <c r="P1514" s="41"/>
      <c r="Q1514" s="41"/>
      <c r="R1514" s="41"/>
      <c r="S1514" s="41"/>
    </row>
    <row r="1515" spans="1:19" x14ac:dyDescent="0.3">
      <c r="A1515" s="41"/>
      <c r="B1515" s="41"/>
      <c r="C1515" s="41"/>
      <c r="D1515" s="41"/>
      <c r="E1515" s="41"/>
      <c r="F1515" s="41"/>
      <c r="G1515" s="41"/>
      <c r="H1515" s="41"/>
      <c r="I1515" s="41"/>
      <c r="J1515" s="41"/>
      <c r="K1515" s="41"/>
      <c r="L1515" s="41"/>
      <c r="M1515" s="41"/>
      <c r="N1515" s="41"/>
      <c r="O1515" s="41"/>
      <c r="P1515" s="41"/>
      <c r="Q1515" s="41"/>
      <c r="R1515" s="41"/>
      <c r="S1515" s="41"/>
    </row>
    <row r="1516" spans="1:19" x14ac:dyDescent="0.3">
      <c r="A1516" s="41"/>
      <c r="B1516" s="41"/>
      <c r="C1516" s="41"/>
      <c r="D1516" s="41"/>
      <c r="E1516" s="41"/>
      <c r="F1516" s="41"/>
      <c r="G1516" s="41"/>
      <c r="H1516" s="41"/>
      <c r="I1516" s="41"/>
      <c r="J1516" s="41"/>
      <c r="K1516" s="41"/>
      <c r="L1516" s="41"/>
      <c r="M1516" s="41"/>
      <c r="N1516" s="41"/>
      <c r="O1516" s="41"/>
      <c r="P1516" s="41"/>
      <c r="Q1516" s="41"/>
      <c r="R1516" s="41"/>
      <c r="S1516" s="41"/>
    </row>
    <row r="1517" spans="1:19" x14ac:dyDescent="0.3">
      <c r="A1517" s="41"/>
      <c r="B1517" s="41"/>
      <c r="C1517" s="41"/>
      <c r="D1517" s="41"/>
      <c r="E1517" s="41"/>
      <c r="F1517" s="41"/>
      <c r="G1517" s="41"/>
      <c r="H1517" s="41"/>
      <c r="I1517" s="41"/>
      <c r="J1517" s="41"/>
      <c r="K1517" s="41"/>
      <c r="L1517" s="41"/>
      <c r="M1517" s="41"/>
      <c r="N1517" s="41"/>
      <c r="O1517" s="41"/>
      <c r="P1517" s="41"/>
      <c r="Q1517" s="41"/>
      <c r="R1517" s="41"/>
      <c r="S1517" s="41"/>
    </row>
    <row r="1518" spans="1:19" x14ac:dyDescent="0.3">
      <c r="A1518" s="41"/>
      <c r="B1518" s="41"/>
      <c r="C1518" s="41"/>
      <c r="D1518" s="41"/>
      <c r="E1518" s="41"/>
      <c r="F1518" s="41"/>
      <c r="G1518" s="41"/>
      <c r="H1518" s="41"/>
      <c r="I1518" s="41"/>
      <c r="J1518" s="41"/>
      <c r="K1518" s="41"/>
      <c r="L1518" s="41"/>
      <c r="M1518" s="41"/>
      <c r="N1518" s="41"/>
      <c r="O1518" s="41"/>
      <c r="P1518" s="41"/>
      <c r="Q1518" s="41"/>
      <c r="R1518" s="41"/>
      <c r="S1518" s="41"/>
    </row>
    <row r="1519" spans="1:19" x14ac:dyDescent="0.3">
      <c r="A1519" s="41"/>
      <c r="B1519" s="41"/>
      <c r="C1519" s="41"/>
      <c r="D1519" s="41"/>
      <c r="E1519" s="41"/>
      <c r="F1519" s="41"/>
      <c r="G1519" s="41"/>
      <c r="H1519" s="41"/>
      <c r="I1519" s="41"/>
      <c r="J1519" s="41"/>
      <c r="K1519" s="41"/>
      <c r="L1519" s="41"/>
      <c r="M1519" s="41"/>
      <c r="N1519" s="41"/>
      <c r="O1519" s="41"/>
      <c r="P1519" s="41"/>
      <c r="Q1519" s="41"/>
      <c r="R1519" s="41"/>
      <c r="S1519" s="41"/>
    </row>
    <row r="1520" spans="1:19" x14ac:dyDescent="0.3">
      <c r="A1520" s="41"/>
      <c r="B1520" s="41"/>
      <c r="C1520" s="41"/>
      <c r="D1520" s="41"/>
      <c r="E1520" s="41"/>
      <c r="F1520" s="41"/>
      <c r="G1520" s="41"/>
      <c r="H1520" s="41"/>
      <c r="I1520" s="41"/>
      <c r="J1520" s="41"/>
      <c r="K1520" s="41"/>
      <c r="L1520" s="41"/>
      <c r="M1520" s="41"/>
      <c r="N1520" s="41"/>
      <c r="O1520" s="41"/>
      <c r="P1520" s="41"/>
      <c r="Q1520" s="41"/>
      <c r="R1520" s="41"/>
      <c r="S1520" s="41"/>
    </row>
    <row r="1521" spans="1:19" x14ac:dyDescent="0.3">
      <c r="A1521" s="41"/>
      <c r="B1521" s="41"/>
      <c r="C1521" s="41"/>
      <c r="D1521" s="41"/>
      <c r="E1521" s="41"/>
      <c r="F1521" s="41"/>
      <c r="G1521" s="41"/>
      <c r="H1521" s="41"/>
      <c r="I1521" s="41"/>
      <c r="J1521" s="41"/>
      <c r="K1521" s="41"/>
      <c r="L1521" s="41"/>
      <c r="M1521" s="41"/>
      <c r="N1521" s="41"/>
      <c r="O1521" s="41"/>
      <c r="P1521" s="41"/>
      <c r="Q1521" s="41"/>
      <c r="R1521" s="41"/>
      <c r="S1521" s="41"/>
    </row>
    <row r="1522" spans="1:19" x14ac:dyDescent="0.3">
      <c r="A1522" s="41"/>
      <c r="B1522" s="41"/>
      <c r="C1522" s="41"/>
      <c r="D1522" s="41"/>
      <c r="E1522" s="41"/>
      <c r="F1522" s="41"/>
      <c r="G1522" s="41"/>
      <c r="H1522" s="41"/>
      <c r="I1522" s="41"/>
      <c r="J1522" s="41"/>
      <c r="K1522" s="41"/>
      <c r="L1522" s="41"/>
      <c r="M1522" s="41"/>
      <c r="N1522" s="41"/>
      <c r="O1522" s="41"/>
      <c r="P1522" s="41"/>
      <c r="Q1522" s="41"/>
      <c r="R1522" s="41"/>
      <c r="S1522" s="41"/>
    </row>
    <row r="1523" spans="1:19" x14ac:dyDescent="0.3">
      <c r="A1523" s="41"/>
      <c r="B1523" s="41"/>
      <c r="C1523" s="41"/>
      <c r="D1523" s="41"/>
      <c r="E1523" s="41"/>
      <c r="F1523" s="41"/>
      <c r="G1523" s="41"/>
      <c r="H1523" s="41"/>
      <c r="I1523" s="41"/>
      <c r="J1523" s="41"/>
      <c r="K1523" s="41"/>
      <c r="L1523" s="41"/>
      <c r="M1523" s="41"/>
      <c r="N1523" s="41"/>
      <c r="O1523" s="41"/>
      <c r="P1523" s="41"/>
      <c r="Q1523" s="41"/>
      <c r="R1523" s="41"/>
      <c r="S1523" s="41"/>
    </row>
    <row r="1524" spans="1:19" x14ac:dyDescent="0.3">
      <c r="A1524" s="41"/>
      <c r="B1524" s="41"/>
      <c r="C1524" s="41"/>
      <c r="D1524" s="41"/>
      <c r="E1524" s="41"/>
      <c r="F1524" s="41"/>
      <c r="G1524" s="41"/>
      <c r="H1524" s="41"/>
      <c r="I1524" s="41"/>
      <c r="J1524" s="41"/>
      <c r="K1524" s="41"/>
      <c r="L1524" s="41"/>
      <c r="M1524" s="41"/>
      <c r="N1524" s="41"/>
      <c r="O1524" s="41"/>
      <c r="P1524" s="41"/>
      <c r="Q1524" s="41"/>
      <c r="R1524" s="41"/>
      <c r="S1524" s="41"/>
    </row>
    <row r="1525" spans="1:19" x14ac:dyDescent="0.3">
      <c r="A1525" s="41"/>
      <c r="B1525" s="41"/>
      <c r="C1525" s="41"/>
      <c r="D1525" s="41"/>
      <c r="E1525" s="41"/>
      <c r="F1525" s="41"/>
      <c r="G1525" s="41"/>
      <c r="H1525" s="41"/>
      <c r="I1525" s="41"/>
      <c r="J1525" s="41"/>
      <c r="K1525" s="41"/>
      <c r="L1525" s="41"/>
      <c r="M1525" s="41"/>
      <c r="N1525" s="41"/>
      <c r="O1525" s="41"/>
      <c r="P1525" s="41"/>
      <c r="Q1525" s="41"/>
      <c r="R1525" s="41"/>
      <c r="S1525" s="41"/>
    </row>
  </sheetData>
  <sheetProtection algorithmName="SHA-512" hashValue="O+dNyqrcKLJlPairytzDjheyRch6jWTPAU5Iz99OKNbTDM54s575xhNbl0G0u0sEK2329X/oWDw5gs3O7KnLAg==" saltValue="uCuO+Ehbg1BIKUbnShZ66w==" spinCount="100000" sheet="1" objects="1" scenarios="1" autoFilter="0"/>
  <autoFilter ref="A2:U960" xr:uid="{8D351432-F652-4D5C-B38B-5778F411CA8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D3D44-49C7-4D5A-B97C-5B6D561BE700}">
  <dimension ref="A2:E29"/>
  <sheetViews>
    <sheetView workbookViewId="0">
      <selection activeCell="L20" sqref="L20"/>
    </sheetView>
  </sheetViews>
  <sheetFormatPr defaultRowHeight="14.4" x14ac:dyDescent="0.3"/>
  <cols>
    <col min="1" max="1" width="27.6640625" bestFit="1" customWidth="1"/>
    <col min="2" max="2" width="21.33203125" customWidth="1"/>
    <col min="3" max="3" width="14.33203125" bestFit="1" customWidth="1"/>
    <col min="4" max="4" width="23" customWidth="1"/>
    <col min="5" max="5" width="18.33203125" customWidth="1"/>
  </cols>
  <sheetData>
    <row r="2" spans="1:5" x14ac:dyDescent="0.3">
      <c r="A2" s="40" t="s">
        <v>130</v>
      </c>
    </row>
    <row r="3" spans="1:5" x14ac:dyDescent="0.3">
      <c r="B3" s="40" t="s">
        <v>99</v>
      </c>
      <c r="C3" s="40" t="s">
        <v>128</v>
      </c>
      <c r="D3" s="40" t="s">
        <v>129</v>
      </c>
      <c r="E3" s="40" t="s">
        <v>100</v>
      </c>
    </row>
    <row r="4" spans="1:5" x14ac:dyDescent="0.3">
      <c r="A4" s="107" t="s">
        <v>21</v>
      </c>
      <c r="B4" s="108">
        <f>SUMIFS(Consultation!U:U,Consultation!$A:$A,$A4)</f>
        <v>362240239</v>
      </c>
      <c r="C4" s="108">
        <f>SUMIFS(Consultation!V:V,Consultation!$A:$A,$A4)</f>
        <v>22191039.050436024</v>
      </c>
      <c r="D4" s="109">
        <f>B4-C4</f>
        <v>340049199.94956398</v>
      </c>
      <c r="E4" s="14">
        <f>C4/B4</f>
        <v>6.1260557666637426E-2</v>
      </c>
    </row>
    <row r="5" spans="1:5" x14ac:dyDescent="0.3">
      <c r="A5" s="107" t="s">
        <v>25</v>
      </c>
      <c r="B5" s="108">
        <f>SUMIFS(Consultation!U:U,Consultation!$A:$A,$A5)</f>
        <v>116685980</v>
      </c>
      <c r="C5" s="108">
        <f>SUMIFS(Consultation!V:V,Consultation!$A:$A,$A5)</f>
        <v>0</v>
      </c>
      <c r="D5" s="109">
        <f t="shared" ref="D5:D6" si="0">B5-C5</f>
        <v>116685980</v>
      </c>
      <c r="E5" s="14">
        <f t="shared" ref="E5:E8" si="1">C5/B5</f>
        <v>0</v>
      </c>
    </row>
    <row r="6" spans="1:5" x14ac:dyDescent="0.3">
      <c r="A6" s="107" t="s">
        <v>48</v>
      </c>
      <c r="B6" s="108">
        <f>SUMIFS(Consultation!U:U,Consultation!$A:$A,$A6)</f>
        <v>2586474</v>
      </c>
      <c r="C6" s="108">
        <f>SUMIFS(Consultation!V:V,Consultation!$A:$A,$A6)</f>
        <v>2586474</v>
      </c>
      <c r="D6" s="109">
        <f t="shared" si="0"/>
        <v>0</v>
      </c>
      <c r="E6" s="14">
        <f t="shared" si="1"/>
        <v>1</v>
      </c>
    </row>
    <row r="7" spans="1:5" x14ac:dyDescent="0.3">
      <c r="A7" s="107" t="s">
        <v>81</v>
      </c>
      <c r="B7" s="109">
        <f>SUM(B4:B6)</f>
        <v>481512693</v>
      </c>
      <c r="C7" s="109">
        <f>SUM(C4:C6)</f>
        <v>24777513.050436024</v>
      </c>
      <c r="D7" s="109">
        <f>SUM(D4:D6)</f>
        <v>456735179.94956398</v>
      </c>
      <c r="E7" s="14">
        <f t="shared" si="1"/>
        <v>5.1457652956276322E-2</v>
      </c>
    </row>
    <row r="8" spans="1:5" x14ac:dyDescent="0.3">
      <c r="A8" s="107" t="s">
        <v>132</v>
      </c>
      <c r="B8" s="111">
        <f>SUM(B4:B5)</f>
        <v>478926219</v>
      </c>
      <c r="C8" s="111">
        <f t="shared" ref="C8:D8" si="2">SUM(C4:C5)</f>
        <v>22191039.050436024</v>
      </c>
      <c r="D8" s="111">
        <f t="shared" si="2"/>
        <v>456735179.94956398</v>
      </c>
      <c r="E8" s="114">
        <f t="shared" si="1"/>
        <v>4.6334984743100951E-2</v>
      </c>
    </row>
    <row r="10" spans="1:5" x14ac:dyDescent="0.3">
      <c r="A10" s="40" t="s">
        <v>269</v>
      </c>
    </row>
    <row r="11" spans="1:5" x14ac:dyDescent="0.3">
      <c r="B11" s="40" t="s">
        <v>99</v>
      </c>
      <c r="C11" s="40" t="s">
        <v>128</v>
      </c>
      <c r="D11" s="40" t="s">
        <v>129</v>
      </c>
      <c r="E11" s="40" t="s">
        <v>100</v>
      </c>
    </row>
    <row r="12" spans="1:5" x14ac:dyDescent="0.3">
      <c r="A12" s="107" t="s">
        <v>21</v>
      </c>
      <c r="B12" s="108">
        <f>SUMIFS('Tamaki Pipe Net Scen 2'!S:S,'Tamaki Pipe Net Scen 2'!A:A,$A12)</f>
        <v>205444013.52871245</v>
      </c>
      <c r="C12" s="108">
        <f>SUMIFS('Tamaki Pipe Net Scen 2'!U:U,'Tamaki Pipe Net Scen 2'!A:A,$A12)</f>
        <v>14923719.735537276</v>
      </c>
      <c r="D12" s="109">
        <f>B12-C12</f>
        <v>190520293.79317516</v>
      </c>
      <c r="E12" s="14">
        <f>C12/B12</f>
        <v>7.2641297642150895E-2</v>
      </c>
    </row>
    <row r="13" spans="1:5" x14ac:dyDescent="0.3">
      <c r="A13" s="107" t="s">
        <v>25</v>
      </c>
      <c r="B13" s="108">
        <f>SUMIFS('Tamaki Pipe Net Scen 2'!S:S,'Tamaki Pipe Net Scen 2'!A:A,$A13)</f>
        <v>102618861.56149124</v>
      </c>
      <c r="C13" s="108">
        <f>SUMIFS('Tamaki Pipe Net Scen 2'!U:U,'Tamaki Pipe Net Scen 2'!A:A,$A13)</f>
        <v>0</v>
      </c>
      <c r="D13" s="109">
        <f t="shared" ref="D13" si="3">B13-C13</f>
        <v>102618861.56149124</v>
      </c>
      <c r="E13" s="14">
        <f t="shared" ref="E13:E15" si="4">C13/B13</f>
        <v>0</v>
      </c>
    </row>
    <row r="14" spans="1:5" x14ac:dyDescent="0.3">
      <c r="A14" s="107" t="s">
        <v>48</v>
      </c>
      <c r="B14" s="108">
        <f>$C$7-C12</f>
        <v>9853793.314898748</v>
      </c>
      <c r="C14" s="108">
        <f>B14</f>
        <v>9853793.314898748</v>
      </c>
      <c r="D14" s="109">
        <v>0</v>
      </c>
      <c r="E14" s="14">
        <v>1</v>
      </c>
    </row>
    <row r="15" spans="1:5" x14ac:dyDescent="0.3">
      <c r="A15" s="110" t="s">
        <v>81</v>
      </c>
      <c r="B15" s="111">
        <f>SUM(B12:B13)</f>
        <v>308062875.0902037</v>
      </c>
      <c r="C15" s="111">
        <f>SUM(C12:C13)</f>
        <v>14923719.735537276</v>
      </c>
      <c r="D15" s="111">
        <f>SUM(D12:D13)</f>
        <v>293139155.35466641</v>
      </c>
      <c r="E15" s="114">
        <f t="shared" si="4"/>
        <v>4.8443746203327712E-2</v>
      </c>
    </row>
    <row r="17" spans="1:5" x14ac:dyDescent="0.3">
      <c r="A17" s="40" t="s">
        <v>270</v>
      </c>
    </row>
    <row r="18" spans="1:5" x14ac:dyDescent="0.3">
      <c r="B18" s="40" t="s">
        <v>99</v>
      </c>
      <c r="C18" s="40" t="s">
        <v>128</v>
      </c>
      <c r="D18" s="40" t="s">
        <v>129</v>
      </c>
      <c r="E18" s="40" t="s">
        <v>100</v>
      </c>
    </row>
    <row r="19" spans="1:5" x14ac:dyDescent="0.3">
      <c r="A19" s="107" t="s">
        <v>21</v>
      </c>
      <c r="B19" s="108">
        <f>SUMIFS('Tamaki Pipe Net Scen 3'!S:S,'Tamaki Pipe Net Scen 3'!A:A,$A19)</f>
        <v>336007606.18259645</v>
      </c>
      <c r="C19" s="108">
        <f>SUMIFS('Tamaki Pipe Net Scen 3'!U:U,'Tamaki Pipe Net Scen 3'!A:A,$A19)</f>
        <v>20024202.39583433</v>
      </c>
      <c r="D19" s="109">
        <f>B19-C19</f>
        <v>315983403.78676212</v>
      </c>
      <c r="E19" s="14">
        <f>C19/B19</f>
        <v>5.9594491396580435E-2</v>
      </c>
    </row>
    <row r="20" spans="1:5" x14ac:dyDescent="0.3">
      <c r="A20" s="107" t="s">
        <v>25</v>
      </c>
      <c r="B20" s="108">
        <f>SUMIFS('Tamaki Pipe Net Scen 3'!S:S,'Tamaki Pipe Net Scen 3'!A:A,$A20)</f>
        <v>103201807</v>
      </c>
      <c r="C20" s="108">
        <f>SUMIFS(Consultation!V:V,Consultation!$A:$A,$A20)</f>
        <v>0</v>
      </c>
      <c r="D20" s="109">
        <f t="shared" ref="D20" si="5">B20-C20</f>
        <v>103201807</v>
      </c>
      <c r="E20" s="14">
        <f t="shared" ref="E20:E22" si="6">C20/B20</f>
        <v>0</v>
      </c>
    </row>
    <row r="21" spans="1:5" x14ac:dyDescent="0.3">
      <c r="A21" s="107" t="s">
        <v>48</v>
      </c>
      <c r="B21" s="108">
        <f>$C$7-C19</f>
        <v>4753310.6546016932</v>
      </c>
      <c r="C21" s="108">
        <f>B21</f>
        <v>4753310.6546016932</v>
      </c>
      <c r="D21" s="109">
        <v>0</v>
      </c>
      <c r="E21" s="14">
        <v>1</v>
      </c>
    </row>
    <row r="22" spans="1:5" x14ac:dyDescent="0.3">
      <c r="A22" s="107" t="s">
        <v>81</v>
      </c>
      <c r="B22" s="111">
        <f>SUM(B19:B20)</f>
        <v>439209413.18259645</v>
      </c>
      <c r="C22" s="111">
        <f>SUM(C19:C20)</f>
        <v>20024202.39583433</v>
      </c>
      <c r="D22" s="111">
        <f>SUM(D19:D20)</f>
        <v>419185210.78676212</v>
      </c>
      <c r="E22" s="114">
        <f t="shared" si="6"/>
        <v>4.559146911432313E-2</v>
      </c>
    </row>
    <row r="24" spans="1:5" x14ac:dyDescent="0.3">
      <c r="B24" s="109"/>
    </row>
    <row r="27" spans="1:5" x14ac:dyDescent="0.3">
      <c r="B27" s="109"/>
    </row>
    <row r="29" spans="1:5" x14ac:dyDescent="0.3">
      <c r="B29" s="109"/>
    </row>
  </sheetData>
  <sheetProtection algorithmName="SHA-512" hashValue="qQYEPoaODEKtsNyUaUnLX0hTzDI8JH8n5ZmgkFeMk7koZQ2wJJ+fBowcfai8Dcc+g3hAaGqoIezBfnOEyxO3vg==" saltValue="77sDY32lIxtevMKbi+xvz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794A9-1767-42DD-914E-D24E72F14EFB}">
  <dimension ref="A1:AS24"/>
  <sheetViews>
    <sheetView topLeftCell="A2" workbookViewId="0">
      <selection activeCell="L3" sqref="K3:L3"/>
    </sheetView>
  </sheetViews>
  <sheetFormatPr defaultRowHeight="14.4" x14ac:dyDescent="0.3"/>
  <cols>
    <col min="1" max="1" width="29" customWidth="1"/>
    <col min="2" max="2" width="34" bestFit="1" customWidth="1"/>
    <col min="8" max="8" width="11.109375" bestFit="1" customWidth="1"/>
    <col min="10" max="10" width="18.109375" customWidth="1"/>
    <col min="11" max="12" width="17" customWidth="1"/>
    <col min="15" max="37" width="10.109375" bestFit="1" customWidth="1"/>
    <col min="43" max="44" width="5" bestFit="1" customWidth="1"/>
    <col min="45" max="45" width="13.88671875" customWidth="1"/>
  </cols>
  <sheetData>
    <row r="1" spans="1:45" hidden="1" x14ac:dyDescent="0.3">
      <c r="B1" t="s">
        <v>144</v>
      </c>
      <c r="C1" s="141">
        <f>'Tamaki Pipe Network  Escal'!D1</f>
        <v>2027</v>
      </c>
      <c r="E1" t="s">
        <v>145</v>
      </c>
      <c r="F1" s="141">
        <f>'Tamaki Pipe Network  Escal'!G1</f>
        <v>2054</v>
      </c>
    </row>
    <row r="2" spans="1:45" x14ac:dyDescent="0.3">
      <c r="O2" t="s">
        <v>243</v>
      </c>
    </row>
    <row r="3" spans="1:45" ht="43.2" x14ac:dyDescent="0.3">
      <c r="A3" t="s">
        <v>133</v>
      </c>
      <c r="B3" s="36" t="s">
        <v>93</v>
      </c>
      <c r="C3" s="36" t="s">
        <v>94</v>
      </c>
      <c r="D3" s="36" t="s">
        <v>95</v>
      </c>
      <c r="E3" s="36" t="s">
        <v>96</v>
      </c>
      <c r="F3" s="36" t="s">
        <v>97</v>
      </c>
      <c r="G3" s="36" t="s">
        <v>98</v>
      </c>
      <c r="H3" s="36" t="s">
        <v>99</v>
      </c>
      <c r="I3" s="36" t="s">
        <v>100</v>
      </c>
      <c r="J3" s="36" t="s">
        <v>101</v>
      </c>
      <c r="K3" s="37" t="s">
        <v>244</v>
      </c>
      <c r="L3" s="37" t="s">
        <v>103</v>
      </c>
      <c r="M3" s="36" t="s">
        <v>104</v>
      </c>
      <c r="N3" s="36" t="s">
        <v>105</v>
      </c>
      <c r="O3" s="38">
        <v>2025</v>
      </c>
      <c r="P3" s="38">
        <v>2026</v>
      </c>
      <c r="Q3" s="38">
        <v>2027</v>
      </c>
      <c r="R3" s="38">
        <v>2028</v>
      </c>
      <c r="S3" s="38">
        <v>2029</v>
      </c>
      <c r="T3" s="38">
        <v>2030</v>
      </c>
      <c r="U3" s="38">
        <v>2031</v>
      </c>
      <c r="V3" s="38">
        <v>2032</v>
      </c>
      <c r="W3" s="38">
        <v>2033</v>
      </c>
      <c r="X3" s="38">
        <v>2034</v>
      </c>
      <c r="Y3" s="38">
        <v>2035</v>
      </c>
      <c r="Z3" s="38">
        <v>2036</v>
      </c>
      <c r="AA3" s="38">
        <v>2037</v>
      </c>
      <c r="AB3" s="38">
        <v>2038</v>
      </c>
      <c r="AC3" s="38">
        <v>2039</v>
      </c>
      <c r="AD3" s="38">
        <v>2040</v>
      </c>
      <c r="AE3" s="38">
        <v>2041</v>
      </c>
      <c r="AF3" s="38">
        <v>2042</v>
      </c>
      <c r="AG3" s="38">
        <v>2043</v>
      </c>
      <c r="AH3" s="38">
        <v>2044</v>
      </c>
      <c r="AI3" s="38">
        <v>2045</v>
      </c>
      <c r="AJ3" s="38">
        <v>2046</v>
      </c>
      <c r="AK3" s="38">
        <v>2047</v>
      </c>
      <c r="AL3" s="38">
        <v>2048</v>
      </c>
      <c r="AM3" s="38">
        <v>2049</v>
      </c>
      <c r="AN3" s="38">
        <v>2050</v>
      </c>
      <c r="AO3" s="38">
        <v>2051</v>
      </c>
      <c r="AP3" s="38">
        <v>2052</v>
      </c>
      <c r="AQ3" s="38">
        <v>2053</v>
      </c>
      <c r="AR3" s="38">
        <v>2054</v>
      </c>
      <c r="AS3" s="38" t="s">
        <v>106</v>
      </c>
    </row>
    <row r="4" spans="1:45" x14ac:dyDescent="0.3">
      <c r="A4" t="s">
        <v>130</v>
      </c>
      <c r="B4" s="201" t="s">
        <v>109</v>
      </c>
      <c r="C4" s="201" t="s">
        <v>110</v>
      </c>
      <c r="D4" s="201" t="s">
        <v>108</v>
      </c>
      <c r="E4" s="201" t="s">
        <v>107</v>
      </c>
      <c r="F4" s="201">
        <f>$C$1</f>
        <v>2027</v>
      </c>
      <c r="G4" s="201">
        <f>$F$1</f>
        <v>2054</v>
      </c>
      <c r="H4" s="202">
        <f>'Tamaki Scenario Summary'!B4</f>
        <v>362240239</v>
      </c>
      <c r="I4" s="142">
        <f>'Tamaki Scenario Summary'!E4</f>
        <v>6.1260557666637426E-2</v>
      </c>
      <c r="J4" s="202">
        <f>'Tamaki Scenario Summary'!C4</f>
        <v>22191039.050436024</v>
      </c>
      <c r="K4" s="143">
        <v>0.5</v>
      </c>
      <c r="L4" s="143">
        <v>1</v>
      </c>
      <c r="M4" s="143">
        <v>0.70405458175002189</v>
      </c>
      <c r="N4" s="143">
        <v>0.23468486058334068</v>
      </c>
      <c r="O4" s="202">
        <f>IF($E4="Yes",IF(AND(O$3&gt;=$F4,O$3&lt;=$G4),$H4*Growth!C$31,0),0)</f>
        <v>0</v>
      </c>
      <c r="P4" s="202">
        <f>IF($E4="Yes",IF(AND(P$3&gt;=$F4,P$3&lt;=$G4),$H4*Growth!D$31,0),0)</f>
        <v>0</v>
      </c>
      <c r="Q4" s="202">
        <f>IF($E4="Yes",IF(AND(Q$3&gt;=$F4,Q$3&lt;=$G4),$H4*Growth!E$31,0),0)</f>
        <v>25471456.716088329</v>
      </c>
      <c r="R4" s="202">
        <f>IF($E4="Yes",IF(AND(R$3&gt;=$F4,R$3&lt;=$G4),$H4*Growth!F$31,0),0)</f>
        <v>16845811.460567821</v>
      </c>
      <c r="S4" s="202">
        <f>IF($E4="Yes",IF(AND(S$3&gt;=$F4,S$3&lt;=$G4),$H4*Growth!G$31,0),0)</f>
        <v>17914801.684542585</v>
      </c>
      <c r="T4" s="202">
        <f>IF($E4="Yes",IF(AND(T$3&gt;=$F4,T$3&lt;=$G4),$H4*Growth!H$31,0),0)</f>
        <v>19020653.64037855</v>
      </c>
      <c r="U4" s="202">
        <f>IF($E4="Yes",IF(AND(U$3&gt;=$F4,U$3&lt;=$G4),$H4*Growth!I$31,0),0)</f>
        <v>20384537.719242901</v>
      </c>
      <c r="V4" s="202">
        <f>IF($E4="Yes",IF(AND(V$3&gt;=$F4,V$3&lt;=$G4),$H4*Growth!J$31,0),0)</f>
        <v>21674698.334384859</v>
      </c>
      <c r="W4" s="202">
        <f>IF($E4="Yes",IF(AND(W$3&gt;=$F4,W$3&lt;=$G4),$H4*Growth!K$31,0),0)</f>
        <v>16403470.678233439</v>
      </c>
      <c r="X4" s="202">
        <f>IF($E4="Yes",IF(AND(X$3&gt;=$F4,X$3&lt;=$G4),$H4*Growth!L$31,0),0)</f>
        <v>16993258.388012618</v>
      </c>
      <c r="Y4" s="202">
        <f>IF($E4="Yes",IF(AND(Y$3&gt;=$F4,Y$3&lt;=$G4),$H4*Growth!M$31,0),0)</f>
        <v>17693631.293375395</v>
      </c>
      <c r="Z4" s="202">
        <f>IF($E4="Yes",IF(AND(Z$3&gt;=$F4,Z$3&lt;=$G4),$H4*Growth!N$31,0),0)</f>
        <v>18467727.662460569</v>
      </c>
      <c r="AA4" s="202">
        <f>IF($E4="Yes",IF(AND(AA$3&gt;=$F4,AA$3&lt;=$G4),$H4*Growth!O$31,0),0)</f>
        <v>19315547.49526814</v>
      </c>
      <c r="AB4" s="202">
        <f>IF($E4="Yes",IF(AND(AB$3&gt;=$F4,AB$3&lt;=$G4),$H4*Growth!P$31,0),0)</f>
        <v>14892139.671924291</v>
      </c>
      <c r="AC4" s="202">
        <f>IF($E4="Yes",IF(AND(AC$3&gt;=$F4,AC$3&lt;=$G4),$H4*Growth!Q$31,0),0)</f>
        <v>15371342.186119873</v>
      </c>
      <c r="AD4" s="202">
        <f>IF($E4="Yes",IF(AND(AD$3&gt;=$F4,AD$3&lt;=$G4),$H4*Growth!R$31,0),0)</f>
        <v>15997991.627760254</v>
      </c>
      <c r="AE4" s="202">
        <f>IF($E4="Yes",IF(AND(AE$3&gt;=$F4,AE$3&lt;=$G4),$H4*Growth!S$31,0),0)</f>
        <v>16440332.410094637</v>
      </c>
      <c r="AF4" s="202">
        <f>IF($E4="Yes",IF(AND(AF$3&gt;=$F4,AF$3&lt;=$G4),$H4*Growth!T$31,0),0)</f>
        <v>16993258.388012618</v>
      </c>
      <c r="AG4" s="202">
        <f>IF($E4="Yes",IF(AND(AG$3&gt;=$F4,AG$3&lt;=$G4),$H4*Growth!U$31,0),0)</f>
        <v>9915805.8706624601</v>
      </c>
      <c r="AH4" s="202">
        <f>IF($E4="Yes",IF(AND(AH$3&gt;=$F4,AH$3&lt;=$G4),$H4*Growth!V$31,0),0)</f>
        <v>10026391.066246057</v>
      </c>
      <c r="AI4" s="202">
        <f>IF($E4="Yes",IF(AND(AI$3&gt;=$F4,AI$3&lt;=$G4),$H4*Growth!W$31,0),0)</f>
        <v>10321284.921135647</v>
      </c>
      <c r="AJ4" s="202">
        <f>IF($E4="Yes",IF(AND(AJ$3&gt;=$F4,AJ$3&lt;=$G4),$H4*Growth!X$31,0),0)</f>
        <v>10468731.848580442</v>
      </c>
      <c r="AK4" s="202">
        <f>IF($E4="Yes",IF(AND(AK$3&gt;=$F4,AK$3&lt;=$G4),$H4*Growth!Y$31,0),0)</f>
        <v>10689902.239747634</v>
      </c>
      <c r="AL4" s="202">
        <f>IF($E4="Yes",IF(AND(AL$3&gt;=$F4,AL$3&lt;=$G4),$H4*Growth!Z$31,0),0)</f>
        <v>3907343.5772870663</v>
      </c>
      <c r="AM4" s="202">
        <f>IF($E4="Yes",IF(AND(AM$3&gt;=$F4,AM$3&lt;=$G4),$H4*Growth!AA$31,0),0)</f>
        <v>4017928.7728706626</v>
      </c>
      <c r="AN4" s="202">
        <f>IF($E4="Yes",IF(AND(AN$3&gt;=$F4,AN$3&lt;=$G4),$H4*Growth!AB$31,0),0)</f>
        <v>4202237.4321766561</v>
      </c>
      <c r="AO4" s="202">
        <f>IF($E4="Yes",IF(AND(AO$3&gt;=$F4,AO$3&lt;=$G4),$H4*Growth!AC$31,0),0)</f>
        <v>4349684.3596214512</v>
      </c>
      <c r="AP4" s="202">
        <f>IF($E4="Yes",IF(AND(AP$3&gt;=$F4,AP$3&lt;=$G4),$H4*Growth!AD$31,0),0)</f>
        <v>4460269.5552050471</v>
      </c>
      <c r="AQ4" s="202">
        <f>IF($E4="Yes",IF(AND(AQ$3&gt;=$F4,AQ$3&lt;=$G4),$H4*Growth!AE$31,0),0)</f>
        <v>0</v>
      </c>
      <c r="AR4" s="202">
        <f>IF($E4="Yes",IF(AND(AR$3&gt;=$F4,AR$3&lt;=$G4),$H4*Growth!AF$31,0),0)</f>
        <v>0</v>
      </c>
      <c r="AS4" s="203">
        <f>SUM(O4:AR4)</f>
        <v>362240239</v>
      </c>
    </row>
    <row r="5" spans="1:45" x14ac:dyDescent="0.3">
      <c r="A5" t="s">
        <v>130</v>
      </c>
      <c r="B5" s="201" t="s">
        <v>111</v>
      </c>
      <c r="C5" s="201" t="s">
        <v>110</v>
      </c>
      <c r="D5" s="201" t="s">
        <v>108</v>
      </c>
      <c r="E5" s="201" t="s">
        <v>107</v>
      </c>
      <c r="F5" s="201">
        <f t="shared" ref="F5:F6" si="0">$C$1</f>
        <v>2027</v>
      </c>
      <c r="G5" s="201">
        <f t="shared" ref="G5:G6" si="1">$F$1</f>
        <v>2054</v>
      </c>
      <c r="H5" s="202">
        <f>'Tamaki Scenario Summary'!B5</f>
        <v>116685980</v>
      </c>
      <c r="I5" s="142">
        <f>'Tamaki Scenario Summary'!E5</f>
        <v>0</v>
      </c>
      <c r="J5" s="202">
        <f>'Tamaki Scenario Summary'!C5</f>
        <v>0</v>
      </c>
      <c r="K5" s="143">
        <v>1</v>
      </c>
      <c r="L5" s="143">
        <v>1</v>
      </c>
      <c r="M5" s="143">
        <v>1</v>
      </c>
      <c r="N5" s="143">
        <v>0</v>
      </c>
      <c r="O5" s="202">
        <f>IF($E5="Yes",IF(AND(O$3&gt;=$F5,O$3&lt;=$G5),$H5*Growth!C$31,0),0)</f>
        <v>0</v>
      </c>
      <c r="P5" s="202">
        <f>IF($E5="Yes",IF(AND(P$3&gt;=$F5,P$3&lt;=$G5),$H5*Growth!D$31,0),0)</f>
        <v>0</v>
      </c>
      <c r="Q5" s="202">
        <f>IF($E5="Yes",IF(AND(Q$3&gt;=$F5,Q$3&lt;=$G5),$H5*Growth!E$31,0),0)</f>
        <v>8204946.7975984532</v>
      </c>
      <c r="R5" s="202">
        <f>IF($E5="Yes",IF(AND(R$3&gt;=$F5,R$3&lt;=$G5),$H5*Growth!F$31,0),0)</f>
        <v>5426426.4638241576</v>
      </c>
      <c r="S5" s="202">
        <f>IF($E5="Yes",IF(AND(S$3&gt;=$F5,S$3&lt;=$G5),$H5*Growth!G$31,0),0)</f>
        <v>5770773.000915844</v>
      </c>
      <c r="T5" s="202">
        <f>IF($E5="Yes",IF(AND(T$3&gt;=$F5,T$3&lt;=$G5),$H5*Growth!H$31,0),0)</f>
        <v>6126993.5565279331</v>
      </c>
      <c r="U5" s="202">
        <f>IF($E5="Yes",IF(AND(U$3&gt;=$F5,U$3&lt;=$G5),$H5*Growth!I$31,0),0)</f>
        <v>6566332.2417828431</v>
      </c>
      <c r="V5" s="202">
        <f>IF($E5="Yes",IF(AND(V$3&gt;=$F5,V$3&lt;=$G5),$H5*Growth!J$31,0),0)</f>
        <v>6981922.8899969477</v>
      </c>
      <c r="W5" s="202">
        <f>IF($E5="Yes",IF(AND(W$3&gt;=$F5,W$3&lt;=$G5),$H5*Growth!K$31,0),0)</f>
        <v>5283938.2415793221</v>
      </c>
      <c r="X5" s="202">
        <f>IF($E5="Yes",IF(AND(X$3&gt;=$F5,X$3&lt;=$G5),$H5*Growth!L$31,0),0)</f>
        <v>5473922.5379057704</v>
      </c>
      <c r="Y5" s="202">
        <f>IF($E5="Yes",IF(AND(Y$3&gt;=$F5,Y$3&lt;=$G5),$H5*Growth!M$31,0),0)</f>
        <v>5699528.8897934258</v>
      </c>
      <c r="Z5" s="202">
        <f>IF($E5="Yes",IF(AND(Z$3&gt;=$F5,Z$3&lt;=$G5),$H5*Growth!N$31,0),0)</f>
        <v>5948883.2787218885</v>
      </c>
      <c r="AA5" s="202">
        <f>IF($E5="Yes",IF(AND(AA$3&gt;=$F5,AA$3&lt;=$G5),$H5*Growth!O$31,0),0)</f>
        <v>6221985.7046911577</v>
      </c>
      <c r="AB5" s="202">
        <f>IF($E5="Yes",IF(AND(AB$3&gt;=$F5,AB$3&lt;=$G5),$H5*Growth!P$31,0),0)</f>
        <v>4797103.4822428003</v>
      </c>
      <c r="AC5" s="202">
        <f>IF($E5="Yes",IF(AND(AC$3&gt;=$F5,AC$3&lt;=$G5),$H5*Growth!Q$31,0),0)</f>
        <v>4951465.7230080385</v>
      </c>
      <c r="AD5" s="202">
        <f>IF($E5="Yes",IF(AND(AD$3&gt;=$F5,AD$3&lt;=$G5),$H5*Growth!R$31,0),0)</f>
        <v>5153324.0378548903</v>
      </c>
      <c r="AE5" s="202">
        <f>IF($E5="Yes",IF(AND(AE$3&gt;=$F5,AE$3&lt;=$G5),$H5*Growth!S$31,0),0)</f>
        <v>5295812.2600997249</v>
      </c>
      <c r="AF5" s="202">
        <f>IF($E5="Yes",IF(AND(AF$3&gt;=$F5,AF$3&lt;=$G5),$H5*Growth!T$31,0),0)</f>
        <v>5473922.5379057704</v>
      </c>
      <c r="AG5" s="202">
        <f>IF($E5="Yes",IF(AND(AG$3&gt;=$F5,AG$3&lt;=$G5),$H5*Growth!U$31,0),0)</f>
        <v>3194110.9819883993</v>
      </c>
      <c r="AH5" s="202">
        <f>IF($E5="Yes",IF(AND(AH$3&gt;=$F5,AH$3&lt;=$G5),$H5*Growth!V$31,0),0)</f>
        <v>3229733.0375496084</v>
      </c>
      <c r="AI5" s="202">
        <f>IF($E5="Yes",IF(AND(AI$3&gt;=$F5,AI$3&lt;=$G5),$H5*Growth!W$31,0),0)</f>
        <v>3324725.185712832</v>
      </c>
      <c r="AJ5" s="202">
        <f>IF($E5="Yes",IF(AND(AJ$3&gt;=$F5,AJ$3&lt;=$G5),$H5*Growth!X$31,0),0)</f>
        <v>3372221.2597944438</v>
      </c>
      <c r="AK5" s="202">
        <f>IF($E5="Yes",IF(AND(AK$3&gt;=$F5,AK$3&lt;=$G5),$H5*Growth!Y$31,0),0)</f>
        <v>3443465.370916862</v>
      </c>
      <c r="AL5" s="202">
        <f>IF($E5="Yes",IF(AND(AL$3&gt;=$F5,AL$3&lt;=$G5),$H5*Growth!Z$31,0),0)</f>
        <v>1258645.9631627148</v>
      </c>
      <c r="AM5" s="202">
        <f>IF($E5="Yes",IF(AND(AM$3&gt;=$F5,AM$3&lt;=$G5),$H5*Growth!AA$31,0),0)</f>
        <v>1294268.0187239239</v>
      </c>
      <c r="AN5" s="202">
        <f>IF($E5="Yes",IF(AND(AN$3&gt;=$F5,AN$3&lt;=$G5),$H5*Growth!AB$31,0),0)</f>
        <v>1353638.1113259387</v>
      </c>
      <c r="AO5" s="202">
        <f>IF($E5="Yes",IF(AND(AO$3&gt;=$F5,AO$3&lt;=$G5),$H5*Growth!AC$31,0),0)</f>
        <v>1401134.1854075505</v>
      </c>
      <c r="AP5" s="202">
        <f>IF($E5="Yes",IF(AND(AP$3&gt;=$F5,AP$3&lt;=$G5),$H5*Growth!AD$31,0),0)</f>
        <v>1436756.2409687596</v>
      </c>
      <c r="AQ5" s="202">
        <f>IF($E5="Yes",IF(AND(AQ$3&gt;=$F5,AQ$3&lt;=$G5),$H5*Growth!AE$31,0),0)</f>
        <v>0</v>
      </c>
      <c r="AR5" s="202">
        <f>IF($E5="Yes",IF(AND(AR$3&gt;=$F5,AR$3&lt;=$G5),$H5*Growth!AF$31,0),0)</f>
        <v>0</v>
      </c>
      <c r="AS5" s="203">
        <f t="shared" ref="AS5:AS6" si="2">SUM(O5:AR5)</f>
        <v>116685980.00000001</v>
      </c>
    </row>
    <row r="6" spans="1:45" x14ac:dyDescent="0.3">
      <c r="A6" t="s">
        <v>130</v>
      </c>
      <c r="B6" s="201" t="s">
        <v>112</v>
      </c>
      <c r="C6" s="201" t="s">
        <v>110</v>
      </c>
      <c r="D6" s="201" t="s">
        <v>108</v>
      </c>
      <c r="E6" s="201" t="s">
        <v>107</v>
      </c>
      <c r="F6" s="201">
        <f t="shared" si="0"/>
        <v>2027</v>
      </c>
      <c r="G6" s="201">
        <f t="shared" si="1"/>
        <v>2054</v>
      </c>
      <c r="H6" s="202">
        <f>'Tamaki Scenario Summary'!B6</f>
        <v>2586474</v>
      </c>
      <c r="I6" s="142">
        <f>'Tamaki Scenario Summary'!E6</f>
        <v>1</v>
      </c>
      <c r="J6" s="202">
        <f>'Tamaki Scenario Summary'!C6</f>
        <v>2586474</v>
      </c>
      <c r="K6" s="143">
        <v>0</v>
      </c>
      <c r="L6" s="143">
        <v>0</v>
      </c>
      <c r="M6" s="143">
        <v>0</v>
      </c>
      <c r="N6" s="143">
        <v>0</v>
      </c>
      <c r="O6" s="202">
        <f>IF($E6="Yes",IF(AND(O$3&gt;=$F6,O$3&lt;=$G6),$H6*Growth!C$31,0),0)</f>
        <v>0</v>
      </c>
      <c r="P6" s="202">
        <f>IF($E6="Yes",IF(AND(P$3&gt;=$F6,P$3&lt;=$G6),$H6*Growth!D$31,0),0)</f>
        <v>0</v>
      </c>
      <c r="Q6" s="202">
        <f>IF($E6="Yes",IF(AND(Q$3&gt;=$F6,Q$3&lt;=$G6),$H6*Growth!E$31,0),0)</f>
        <v>181871.73440521013</v>
      </c>
      <c r="R6" s="202">
        <f>IF($E6="Yes",IF(AND(R$3&gt;=$F6,R$3&lt;=$G6),$H6*Growth!F$31,0),0)</f>
        <v>120282.75343441538</v>
      </c>
      <c r="S6" s="202">
        <f>IF($E6="Yes",IF(AND(S$3&gt;=$F6,S$3&lt;=$G6),$H6*Growth!G$31,0),0)</f>
        <v>127915.57586241986</v>
      </c>
      <c r="T6" s="202">
        <f>IF($E6="Yes",IF(AND(T$3&gt;=$F6,T$3&lt;=$G6),$H6*Growth!H$31,0),0)</f>
        <v>135811.59906380382</v>
      </c>
      <c r="U6" s="202">
        <f>IF($E6="Yes",IF(AND(U$3&gt;=$F6,U$3&lt;=$G6),$H6*Growth!I$31,0),0)</f>
        <v>145550.027678844</v>
      </c>
      <c r="V6" s="202">
        <f>IF($E6="Yes",IF(AND(V$3&gt;=$F6,V$3&lt;=$G6),$H6*Growth!J$31,0),0)</f>
        <v>154762.05474712528</v>
      </c>
      <c r="W6" s="202">
        <f>IF($E6="Yes",IF(AND(W$3&gt;=$F6,W$3&lt;=$G6),$H6*Growth!K$31,0),0)</f>
        <v>117124.34415386181</v>
      </c>
      <c r="X6" s="202">
        <f>IF($E6="Yes",IF(AND(X$3&gt;=$F6,X$3&lt;=$G6),$H6*Growth!L$31,0),0)</f>
        <v>121335.55652793325</v>
      </c>
      <c r="Y6" s="202">
        <f>IF($E6="Yes",IF(AND(Y$3&gt;=$F6,Y$3&lt;=$G6),$H6*Growth!M$31,0),0)</f>
        <v>126336.37122214308</v>
      </c>
      <c r="Z6" s="202">
        <f>IF($E6="Yes",IF(AND(Z$3&gt;=$F6,Z$3&lt;=$G6),$H6*Growth!N$31,0),0)</f>
        <v>131863.58746311185</v>
      </c>
      <c r="AA6" s="202">
        <f>IF($E6="Yes",IF(AND(AA$3&gt;=$F6,AA$3&lt;=$G6),$H6*Growth!O$31,0),0)</f>
        <v>137917.20525083953</v>
      </c>
      <c r="AB6" s="202">
        <f>IF($E6="Yes",IF(AND(AB$3&gt;=$F6,AB$3&lt;=$G6),$H6*Growth!P$31,0),0)</f>
        <v>106333.11244530376</v>
      </c>
      <c r="AC6" s="202">
        <f>IF($E6="Yes",IF(AND(AC$3&gt;=$F6,AC$3&lt;=$G6),$H6*Growth!Q$31,0),0)</f>
        <v>109754.72249923678</v>
      </c>
      <c r="AD6" s="202">
        <f>IF($E6="Yes",IF(AND(AD$3&gt;=$F6,AD$3&lt;=$G6),$H6*Growth!R$31,0),0)</f>
        <v>114229.1356466877</v>
      </c>
      <c r="AE6" s="202">
        <f>IF($E6="Yes",IF(AND(AE$3&gt;=$F6,AE$3&lt;=$G6),$H6*Growth!S$31,0),0)</f>
        <v>117387.54492724127</v>
      </c>
      <c r="AF6" s="202">
        <f>IF($E6="Yes",IF(AND(AF$3&gt;=$F6,AF$3&lt;=$G6),$H6*Growth!T$31,0),0)</f>
        <v>121335.55652793325</v>
      </c>
      <c r="AG6" s="202">
        <f>IF($E6="Yes",IF(AND(AG$3&gt;=$F6,AG$3&lt;=$G6),$H6*Growth!U$31,0),0)</f>
        <v>70801.008039076012</v>
      </c>
      <c r="AH6" s="202">
        <f>IF($E6="Yes",IF(AND(AH$3&gt;=$F6,AH$3&lt;=$G6),$H6*Growth!V$31,0),0)</f>
        <v>71590.610359214406</v>
      </c>
      <c r="AI6" s="202">
        <f>IF($E6="Yes",IF(AND(AI$3&gt;=$F6,AI$3&lt;=$G6),$H6*Growth!W$31,0),0)</f>
        <v>73696.216546250129</v>
      </c>
      <c r="AJ6" s="202">
        <f>IF($E6="Yes",IF(AND(AJ$3&gt;=$F6,AJ$3&lt;=$G6),$H6*Growth!X$31,0),0)</f>
        <v>74749.019639767983</v>
      </c>
      <c r="AK6" s="202">
        <f>IF($E6="Yes",IF(AND(AK$3&gt;=$F6,AK$3&lt;=$G6),$H6*Growth!Y$31,0),0)</f>
        <v>76328.224280044771</v>
      </c>
      <c r="AL6" s="202">
        <f>IF($E6="Yes",IF(AND(AL$3&gt;=$F6,AL$3&lt;=$G6),$H6*Growth!Z$31,0),0)</f>
        <v>27899.281978223262</v>
      </c>
      <c r="AM6" s="202">
        <f>IF($E6="Yes",IF(AND(AM$3&gt;=$F6,AM$3&lt;=$G6),$H6*Growth!AA$31,0),0)</f>
        <v>28688.884298361656</v>
      </c>
      <c r="AN6" s="202">
        <f>IF($E6="Yes",IF(AND(AN$3&gt;=$F6,AN$3&lt;=$G6),$H6*Growth!AB$31,0),0)</f>
        <v>30004.888165258981</v>
      </c>
      <c r="AO6" s="202">
        <f>IF($E6="Yes",IF(AND(AO$3&gt;=$F6,AO$3&lt;=$G6),$H6*Growth!AC$31,0),0)</f>
        <v>31057.691258776838</v>
      </c>
      <c r="AP6" s="202">
        <f>IF($E6="Yes",IF(AND(AP$3&gt;=$F6,AP$3&lt;=$G6),$H6*Growth!AD$31,0),0)</f>
        <v>31847.293578915236</v>
      </c>
      <c r="AQ6" s="202">
        <f>IF($E6="Yes",IF(AND(AQ$3&gt;=$F6,AQ$3&lt;=$G6),$H6*Growth!AE$31,0),0)</f>
        <v>0</v>
      </c>
      <c r="AR6" s="202">
        <f>IF($E6="Yes",IF(AND(AR$3&gt;=$F6,AR$3&lt;=$G6),$H6*Growth!AF$31,0),0)</f>
        <v>0</v>
      </c>
      <c r="AS6" s="203">
        <f t="shared" si="2"/>
        <v>2586474.0000000005</v>
      </c>
    </row>
    <row r="7" spans="1:45" x14ac:dyDescent="0.3">
      <c r="A7" t="s">
        <v>130</v>
      </c>
      <c r="B7" s="201" t="s">
        <v>81</v>
      </c>
      <c r="C7" s="201"/>
      <c r="D7" s="201"/>
      <c r="E7" s="201"/>
      <c r="F7" s="201"/>
      <c r="G7" s="201"/>
      <c r="H7" s="202"/>
      <c r="I7" s="142"/>
      <c r="J7" s="202">
        <f>SUM(J4:J6)</f>
        <v>24777513.050436024</v>
      </c>
      <c r="K7" s="143"/>
      <c r="L7" s="143"/>
      <c r="M7" s="143"/>
      <c r="N7" s="143"/>
      <c r="O7" s="202">
        <f>O4+O5+O6</f>
        <v>0</v>
      </c>
      <c r="P7" s="202">
        <f t="shared" ref="P7:AS7" si="3">P4+P5+P6</f>
        <v>0</v>
      </c>
      <c r="Q7" s="202">
        <f t="shared" si="3"/>
        <v>33858275.248091996</v>
      </c>
      <c r="R7" s="202">
        <f t="shared" si="3"/>
        <v>22392520.677826393</v>
      </c>
      <c r="S7" s="202">
        <f t="shared" si="3"/>
        <v>23813490.261320848</v>
      </c>
      <c r="T7" s="202">
        <f t="shared" si="3"/>
        <v>25283458.795970287</v>
      </c>
      <c r="U7" s="202">
        <f t="shared" si="3"/>
        <v>27096419.988704588</v>
      </c>
      <c r="V7" s="202">
        <f t="shared" si="3"/>
        <v>28811383.279128931</v>
      </c>
      <c r="W7" s="202">
        <f t="shared" si="3"/>
        <v>21804533.263966624</v>
      </c>
      <c r="X7" s="202">
        <f t="shared" si="3"/>
        <v>22588516.482446324</v>
      </c>
      <c r="Y7" s="202">
        <f t="shared" si="3"/>
        <v>23519496.554390963</v>
      </c>
      <c r="Z7" s="202">
        <f t="shared" si="3"/>
        <v>24548474.528645568</v>
      </c>
      <c r="AA7" s="202">
        <f t="shared" si="3"/>
        <v>25675450.405210137</v>
      </c>
      <c r="AB7" s="202">
        <f t="shared" si="3"/>
        <v>19795576.266612396</v>
      </c>
      <c r="AC7" s="202">
        <f t="shared" si="3"/>
        <v>20432562.63162715</v>
      </c>
      <c r="AD7" s="202">
        <f t="shared" si="3"/>
        <v>21265544.801261831</v>
      </c>
      <c r="AE7" s="202">
        <f t="shared" si="3"/>
        <v>21853532.215121601</v>
      </c>
      <c r="AF7" s="202">
        <f t="shared" si="3"/>
        <v>22588516.482446324</v>
      </c>
      <c r="AG7" s="202">
        <f t="shared" si="3"/>
        <v>13180717.860689934</v>
      </c>
      <c r="AH7" s="202">
        <f t="shared" si="3"/>
        <v>13327714.71415488</v>
      </c>
      <c r="AI7" s="202">
        <f t="shared" si="3"/>
        <v>13719706.323394729</v>
      </c>
      <c r="AJ7" s="202">
        <f t="shared" si="3"/>
        <v>13915702.128014654</v>
      </c>
      <c r="AK7" s="202">
        <f t="shared" si="3"/>
        <v>14209695.834944541</v>
      </c>
      <c r="AL7" s="202">
        <f t="shared" si="3"/>
        <v>5193888.8224280048</v>
      </c>
      <c r="AM7" s="202">
        <f t="shared" si="3"/>
        <v>5340885.6758929482</v>
      </c>
      <c r="AN7" s="202">
        <f t="shared" si="3"/>
        <v>5585880.4316678541</v>
      </c>
      <c r="AO7" s="202">
        <f t="shared" si="3"/>
        <v>5781876.2362877782</v>
      </c>
      <c r="AP7" s="202">
        <f t="shared" si="3"/>
        <v>5928873.0897527225</v>
      </c>
      <c r="AQ7" s="202">
        <f t="shared" si="3"/>
        <v>0</v>
      </c>
      <c r="AR7" s="202">
        <f t="shared" si="3"/>
        <v>0</v>
      </c>
      <c r="AS7" s="203">
        <f t="shared" si="3"/>
        <v>481512693</v>
      </c>
    </row>
    <row r="8" spans="1:45" s="40" customFormat="1" x14ac:dyDescent="0.3">
      <c r="A8" s="40" t="s">
        <v>130</v>
      </c>
      <c r="B8" s="204" t="s">
        <v>149</v>
      </c>
      <c r="C8" s="204"/>
      <c r="D8" s="204"/>
      <c r="E8" s="204"/>
      <c r="F8" s="204"/>
      <c r="G8" s="204"/>
      <c r="H8" s="203"/>
      <c r="I8" s="205"/>
      <c r="J8" s="203"/>
      <c r="K8" s="206"/>
      <c r="L8" s="206"/>
      <c r="M8" s="206"/>
      <c r="N8" s="206"/>
      <c r="O8" s="203">
        <f>O5+O4</f>
        <v>0</v>
      </c>
      <c r="P8" s="203">
        <f t="shared" ref="P8:AS8" si="4">P5+P4</f>
        <v>0</v>
      </c>
      <c r="Q8" s="203">
        <f t="shared" si="4"/>
        <v>33676403.513686784</v>
      </c>
      <c r="R8" s="203">
        <f t="shared" si="4"/>
        <v>22272237.924391977</v>
      </c>
      <c r="S8" s="203">
        <f t="shared" si="4"/>
        <v>23685574.685458429</v>
      </c>
      <c r="T8" s="203">
        <f t="shared" si="4"/>
        <v>25147647.196906485</v>
      </c>
      <c r="U8" s="203">
        <f t="shared" si="4"/>
        <v>26950869.961025745</v>
      </c>
      <c r="V8" s="203">
        <f t="shared" si="4"/>
        <v>28656621.224381804</v>
      </c>
      <c r="W8" s="203">
        <f t="shared" si="4"/>
        <v>21687408.919812761</v>
      </c>
      <c r="X8" s="203">
        <f t="shared" si="4"/>
        <v>22467180.925918389</v>
      </c>
      <c r="Y8" s="203">
        <f t="shared" si="4"/>
        <v>23393160.183168821</v>
      </c>
      <c r="Z8" s="203">
        <f t="shared" si="4"/>
        <v>24416610.941182457</v>
      </c>
      <c r="AA8" s="203">
        <f t="shared" si="4"/>
        <v>25537533.199959297</v>
      </c>
      <c r="AB8" s="203">
        <f t="shared" si="4"/>
        <v>19689243.154167093</v>
      </c>
      <c r="AC8" s="203">
        <f t="shared" si="4"/>
        <v>20322807.909127913</v>
      </c>
      <c r="AD8" s="203">
        <f t="shared" si="4"/>
        <v>21151315.665615145</v>
      </c>
      <c r="AE8" s="203">
        <f t="shared" si="4"/>
        <v>21736144.670194361</v>
      </c>
      <c r="AF8" s="203">
        <f t="shared" si="4"/>
        <v>22467180.925918389</v>
      </c>
      <c r="AG8" s="203">
        <f t="shared" si="4"/>
        <v>13109916.852650858</v>
      </c>
      <c r="AH8" s="203">
        <f t="shared" si="4"/>
        <v>13256124.103795666</v>
      </c>
      <c r="AI8" s="203">
        <f t="shared" si="4"/>
        <v>13646010.106848478</v>
      </c>
      <c r="AJ8" s="203">
        <f t="shared" si="4"/>
        <v>13840953.108374886</v>
      </c>
      <c r="AK8" s="203">
        <f t="shared" si="4"/>
        <v>14133367.610664496</v>
      </c>
      <c r="AL8" s="203">
        <f t="shared" si="4"/>
        <v>5165989.5404497813</v>
      </c>
      <c r="AM8" s="203">
        <f t="shared" si="4"/>
        <v>5312196.7915945863</v>
      </c>
      <c r="AN8" s="203">
        <f t="shared" si="4"/>
        <v>5555875.5435025953</v>
      </c>
      <c r="AO8" s="203">
        <f t="shared" si="4"/>
        <v>5750818.5450290013</v>
      </c>
      <c r="AP8" s="203">
        <f t="shared" si="4"/>
        <v>5897025.7961738072</v>
      </c>
      <c r="AQ8" s="203">
        <f t="shared" si="4"/>
        <v>0</v>
      </c>
      <c r="AR8" s="203">
        <f t="shared" si="4"/>
        <v>0</v>
      </c>
      <c r="AS8" s="203">
        <f t="shared" si="4"/>
        <v>478926219</v>
      </c>
    </row>
    <row r="11" spans="1:45" ht="28.8" x14ac:dyDescent="0.3">
      <c r="A11" s="207" t="s">
        <v>269</v>
      </c>
      <c r="B11" s="201" t="s">
        <v>109</v>
      </c>
      <c r="C11" s="201" t="s">
        <v>110</v>
      </c>
      <c r="D11" s="201" t="s">
        <v>108</v>
      </c>
      <c r="E11" s="201" t="s">
        <v>107</v>
      </c>
      <c r="F11" s="201">
        <f>$C$1</f>
        <v>2027</v>
      </c>
      <c r="G11" s="201">
        <f>$F$1</f>
        <v>2054</v>
      </c>
      <c r="H11" s="202">
        <f>'Tamaki Scenario Summary'!B12</f>
        <v>205444013.52871245</v>
      </c>
      <c r="I11" s="142">
        <f>'Tamaki Scenario Summary'!E12</f>
        <v>7.2641297642150895E-2</v>
      </c>
      <c r="J11" s="202">
        <f>'Tamaki Scenario Summary'!C12</f>
        <v>14923719.735537276</v>
      </c>
      <c r="K11" s="178">
        <v>0.61</v>
      </c>
      <c r="L11" s="178">
        <v>0.5</v>
      </c>
      <c r="M11" s="177">
        <f>(K11+L11)/2*(1-I11)</f>
        <v>0.5146840798086062</v>
      </c>
      <c r="N11" s="177">
        <f>1-M11-I11</f>
        <v>0.41267462254924292</v>
      </c>
      <c r="O11" s="202">
        <f>IF($E11="Yes",IF(AND(O$3&gt;=$F11,O$3&lt;=$G11),$H11*Growth!C$31,0),0)</f>
        <v>0</v>
      </c>
      <c r="P11" s="202">
        <f>IF($E11="Yes",IF(AND(P$3&gt;=$F11,P$3&lt;=$G11),$H11*Growth!D$31,0),0)</f>
        <v>0</v>
      </c>
      <c r="Q11" s="202">
        <f>IF($E11="Yes",IF(AND(Q$3&gt;=$F11,Q$3&lt;=$G11),$H11*Growth!E$31,0),0)</f>
        <v>14446098.844849933</v>
      </c>
      <c r="R11" s="202">
        <f>IF($E11="Yes",IF(AND(R$3&gt;=$F11,R$3&lt;=$G11),$H11*Growth!F$31,0),0)</f>
        <v>9554076.9494883064</v>
      </c>
      <c r="S11" s="202">
        <f>IF($E11="Yes",IF(AND(S$3&gt;=$F11,S$3&lt;=$G11),$H11*Growth!G$31,0),0)</f>
        <v>10160353.167289535</v>
      </c>
      <c r="T11" s="202">
        <f>IF($E11="Yes",IF(AND(T$3&gt;=$F11,T$3&lt;=$G11),$H11*Growth!H$31,0),0)</f>
        <v>10787535.461566666</v>
      </c>
      <c r="U11" s="202">
        <f>IF($E11="Yes",IF(AND(U$3&gt;=$F11,U$3&lt;=$G11),$H11*Growth!I$31,0),0)</f>
        <v>11561060.291175127</v>
      </c>
      <c r="V11" s="202">
        <f>IF($E11="Yes",IF(AND(V$3&gt;=$F11,V$3&lt;=$G11),$H11*Growth!J$31,0),0)</f>
        <v>12292772.967831783</v>
      </c>
      <c r="W11" s="202">
        <f>IF($E11="Yes",IF(AND(W$3&gt;=$F11,W$3&lt;=$G11),$H11*Growth!K$31,0),0)</f>
        <v>9303204.0317774545</v>
      </c>
      <c r="X11" s="202">
        <f>IF($E11="Yes",IF(AND(X$3&gt;=$F11,X$3&lt;=$G11),$H11*Growth!L$31,0),0)</f>
        <v>9637701.2553919237</v>
      </c>
      <c r="Y11" s="202">
        <f>IF($E11="Yes",IF(AND(Y$3&gt;=$F11,Y$3&lt;=$G11),$H11*Growth!M$31,0),0)</f>
        <v>10034916.708434107</v>
      </c>
      <c r="Z11" s="202">
        <f>IF($E11="Yes",IF(AND(Z$3&gt;=$F11,Z$3&lt;=$G11),$H11*Growth!N$31,0),0)</f>
        <v>10473944.3144281</v>
      </c>
      <c r="AA11" s="202">
        <f>IF($E11="Yes",IF(AND(AA$3&gt;=$F11,AA$3&lt;=$G11),$H11*Growth!O$31,0),0)</f>
        <v>10954784.073373901</v>
      </c>
      <c r="AB11" s="202">
        <f>IF($E11="Yes",IF(AND(AB$3&gt;=$F11,AB$3&lt;=$G11),$H11*Growth!P$31,0),0)</f>
        <v>8446054.8962653745</v>
      </c>
      <c r="AC11" s="202">
        <f>IF($E11="Yes",IF(AND(AC$3&gt;=$F11,AC$3&lt;=$G11),$H11*Growth!Q$31,0),0)</f>
        <v>8717833.8904521298</v>
      </c>
      <c r="AD11" s="202">
        <f>IF($E11="Yes",IF(AND(AD$3&gt;=$F11,AD$3&lt;=$G11),$H11*Growth!R$31,0),0)</f>
        <v>9073237.1905425061</v>
      </c>
      <c r="AE11" s="202">
        <f>IF($E11="Yes",IF(AND(AE$3&gt;=$F11,AE$3&lt;=$G11),$H11*Growth!S$31,0),0)</f>
        <v>9324110.1082533579</v>
      </c>
      <c r="AF11" s="202">
        <f>IF($E11="Yes",IF(AND(AF$3&gt;=$F11,AF$3&lt;=$G11),$H11*Growth!T$31,0),0)</f>
        <v>9637701.2553919237</v>
      </c>
      <c r="AG11" s="202">
        <f>IF($E11="Yes",IF(AND(AG$3&gt;=$F11,AG$3&lt;=$G11),$H11*Growth!U$31,0),0)</f>
        <v>5623734.5720182806</v>
      </c>
      <c r="AH11" s="202">
        <f>IF($E11="Yes",IF(AND(AH$3&gt;=$F11,AH$3&lt;=$G11),$H11*Growth!V$31,0),0)</f>
        <v>5686452.8014459945</v>
      </c>
      <c r="AI11" s="202">
        <f>IF($E11="Yes",IF(AND(AI$3&gt;=$F11,AI$3&lt;=$G11),$H11*Growth!W$31,0),0)</f>
        <v>5853701.4132532291</v>
      </c>
      <c r="AJ11" s="202">
        <f>IF($E11="Yes",IF(AND(AJ$3&gt;=$F11,AJ$3&lt;=$G11),$H11*Growth!X$31,0),0)</f>
        <v>5937325.7191568473</v>
      </c>
      <c r="AK11" s="202">
        <f>IF($E11="Yes",IF(AND(AK$3&gt;=$F11,AK$3&lt;=$G11),$H11*Growth!Y$31,0),0)</f>
        <v>6062762.1780122733</v>
      </c>
      <c r="AL11" s="202">
        <f>IF($E11="Yes",IF(AND(AL$3&gt;=$F11,AL$3&lt;=$G11),$H11*Growth!Z$31,0),0)</f>
        <v>2216044.1064458652</v>
      </c>
      <c r="AM11" s="202">
        <f>IF($E11="Yes",IF(AND(AM$3&gt;=$F11,AM$3&lt;=$G11),$H11*Growth!AA$31,0),0)</f>
        <v>2278762.3358735787</v>
      </c>
      <c r="AN11" s="202">
        <f>IF($E11="Yes",IF(AND(AN$3&gt;=$F11,AN$3&lt;=$G11),$H11*Growth!AB$31,0),0)</f>
        <v>2383292.7182531003</v>
      </c>
      <c r="AO11" s="202">
        <f>IF($E11="Yes",IF(AND(AO$3&gt;=$F11,AO$3&lt;=$G11),$H11*Growth!AC$31,0),0)</f>
        <v>2466917.024156718</v>
      </c>
      <c r="AP11" s="202">
        <f>IF($E11="Yes",IF(AND(AP$3&gt;=$F11,AP$3&lt;=$G11),$H11*Growth!AD$31,0),0)</f>
        <v>2529635.2535844315</v>
      </c>
      <c r="AQ11" s="202">
        <f>IF($E11="Yes",IF(AND(AQ$3&gt;=$F11,AQ$3&lt;=$G11),$H11*Growth!AE$31,0),0)</f>
        <v>0</v>
      </c>
      <c r="AR11" s="202">
        <f>IF($E11="Yes",IF(AND(AR$3&gt;=$F11,AR$3&lt;=$G11),$H11*Growth!AF$31,0),0)</f>
        <v>0</v>
      </c>
      <c r="AS11" s="203">
        <f>SUM(O11:AR11)</f>
        <v>205444013.52871248</v>
      </c>
    </row>
    <row r="12" spans="1:45" ht="28.8" x14ac:dyDescent="0.3">
      <c r="A12" s="207" t="s">
        <v>269</v>
      </c>
      <c r="B12" s="201" t="s">
        <v>111</v>
      </c>
      <c r="C12" s="201" t="s">
        <v>110</v>
      </c>
      <c r="D12" s="201" t="s">
        <v>108</v>
      </c>
      <c r="E12" s="201" t="s">
        <v>107</v>
      </c>
      <c r="F12" s="201">
        <f t="shared" ref="F12:F13" si="5">$C$1</f>
        <v>2027</v>
      </c>
      <c r="G12" s="201">
        <f t="shared" ref="G12:G13" si="6">$F$1</f>
        <v>2054</v>
      </c>
      <c r="H12" s="202">
        <f>'Tamaki Scenario Summary'!B13</f>
        <v>102618861.56149124</v>
      </c>
      <c r="I12" s="142">
        <f>'Tamaki Scenario Summary'!E13</f>
        <v>0</v>
      </c>
      <c r="J12" s="202">
        <f>'Tamaki Scenario Summary'!C13</f>
        <v>0</v>
      </c>
      <c r="K12" s="178">
        <v>0.61</v>
      </c>
      <c r="L12" s="178">
        <v>1</v>
      </c>
      <c r="M12" s="177">
        <f>(K12+L12)/2*(1-I12)</f>
        <v>0.80499999999999994</v>
      </c>
      <c r="N12" s="177">
        <f>1-M12-I12</f>
        <v>0.19500000000000006</v>
      </c>
      <c r="O12" s="202">
        <f>IF($E12="Yes",IF(AND(O$3&gt;=$F12,O$3&lt;=$G12),$H12*Growth!C$31,0),0)</f>
        <v>0</v>
      </c>
      <c r="P12" s="202">
        <f>IF($E12="Yes",IF(AND(P$3&gt;=$F12,P$3&lt;=$G12),$H12*Growth!D$31,0),0)</f>
        <v>0</v>
      </c>
      <c r="Q12" s="202">
        <f>IF($E12="Yes",IF(AND(Q$3&gt;=$F12,Q$3&lt;=$G12),$H12*Growth!E$31,0),0)</f>
        <v>7215796.6153445039</v>
      </c>
      <c r="R12" s="202">
        <f>IF($E12="Yes",IF(AND(R$3&gt;=$F12,R$3&lt;=$G12),$H12*Growth!F$31,0),0)</f>
        <v>4772241.7557343533</v>
      </c>
      <c r="S12" s="202">
        <f>IF($E12="Yes",IF(AND(S$3&gt;=$F12,S$3&lt;=$G12),$H12*Growth!G$31,0),0)</f>
        <v>5075075.4776518513</v>
      </c>
      <c r="T12" s="202">
        <f>IF($E12="Yes",IF(AND(T$3&gt;=$F12,T$3&lt;=$G12),$H12*Growth!H$31,0),0)</f>
        <v>5388351.7417044351</v>
      </c>
      <c r="U12" s="202">
        <f>IF($E12="Yes",IF(AND(U$3&gt;=$F12,U$3&lt;=$G12),$H12*Growth!I$31,0),0)</f>
        <v>5774725.8007026203</v>
      </c>
      <c r="V12" s="202">
        <f>IF($E12="Yes",IF(AND(V$3&gt;=$F12,V$3&lt;=$G12),$H12*Growth!J$31,0),0)</f>
        <v>6140214.7754306346</v>
      </c>
      <c r="W12" s="202">
        <f>IF($E12="Yes",IF(AND(W$3&gt;=$F12,W$3&lt;=$G12),$H12*Growth!K$31,0),0)</f>
        <v>4646931.2501133205</v>
      </c>
      <c r="X12" s="202">
        <f>IF($E12="Yes",IF(AND(X$3&gt;=$F12,X$3&lt;=$G12),$H12*Growth!L$31,0),0)</f>
        <v>4814011.9242746979</v>
      </c>
      <c r="Y12" s="202">
        <f>IF($E12="Yes",IF(AND(Y$3&gt;=$F12,Y$3&lt;=$G12),$H12*Growth!M$31,0),0)</f>
        <v>5012420.2248413339</v>
      </c>
      <c r="Z12" s="202">
        <f>IF($E12="Yes",IF(AND(Z$3&gt;=$F12,Z$3&lt;=$G12),$H12*Growth!N$31,0),0)</f>
        <v>5231713.6096781427</v>
      </c>
      <c r="AA12" s="202">
        <f>IF($E12="Yes",IF(AND(AA$3&gt;=$F12,AA$3&lt;=$G12),$H12*Growth!O$31,0),0)</f>
        <v>5471892.0787851233</v>
      </c>
      <c r="AB12" s="202">
        <f>IF($E12="Yes",IF(AND(AB$3&gt;=$F12,AB$3&lt;=$G12),$H12*Growth!P$31,0),0)</f>
        <v>4218787.0225747898</v>
      </c>
      <c r="AC12" s="202">
        <f>IF($E12="Yes",IF(AND(AC$3&gt;=$F12,AC$3&lt;=$G12),$H12*Growth!Q$31,0),0)</f>
        <v>4354540.0703309085</v>
      </c>
      <c r="AD12" s="202">
        <f>IF($E12="Yes",IF(AND(AD$3&gt;=$F12,AD$3&lt;=$G12),$H12*Growth!R$31,0),0)</f>
        <v>4532063.2866273737</v>
      </c>
      <c r="AE12" s="202">
        <f>IF($E12="Yes",IF(AND(AE$3&gt;=$F12,AE$3&lt;=$G12),$H12*Growth!S$31,0),0)</f>
        <v>4657373.7922484064</v>
      </c>
      <c r="AF12" s="202">
        <f>IF($E12="Yes",IF(AND(AF$3&gt;=$F12,AF$3&lt;=$G12),$H12*Growth!T$31,0),0)</f>
        <v>4814011.9242746979</v>
      </c>
      <c r="AG12" s="202">
        <f>IF($E12="Yes",IF(AND(AG$3&gt;=$F12,AG$3&lt;=$G12),$H12*Growth!U$31,0),0)</f>
        <v>2809043.8343381644</v>
      </c>
      <c r="AH12" s="202">
        <f>IF($E12="Yes",IF(AND(AH$3&gt;=$F12,AH$3&lt;=$G12),$H12*Growth!V$31,0),0)</f>
        <v>2840371.4607434226</v>
      </c>
      <c r="AI12" s="202">
        <f>IF($E12="Yes",IF(AND(AI$3&gt;=$F12,AI$3&lt;=$G12),$H12*Growth!W$31,0),0)</f>
        <v>2923911.7978241118</v>
      </c>
      <c r="AJ12" s="202">
        <f>IF($E12="Yes",IF(AND(AJ$3&gt;=$F12,AJ$3&lt;=$G12),$H12*Growth!X$31,0),0)</f>
        <v>2965681.9663644563</v>
      </c>
      <c r="AK12" s="202">
        <f>IF($E12="Yes",IF(AND(AK$3&gt;=$F12,AK$3&lt;=$G12),$H12*Growth!Y$31,0),0)</f>
        <v>3028337.2191749732</v>
      </c>
      <c r="AL12" s="202">
        <f>IF($E12="Yes",IF(AND(AL$3&gt;=$F12,AL$3&lt;=$G12),$H12*Growth!Z$31,0),0)</f>
        <v>1106909.4663191279</v>
      </c>
      <c r="AM12" s="202">
        <f>IF($E12="Yes",IF(AND(AM$3&gt;=$F12,AM$3&lt;=$G12),$H12*Growth!AA$31,0),0)</f>
        <v>1138237.0927243864</v>
      </c>
      <c r="AN12" s="202">
        <f>IF($E12="Yes",IF(AND(AN$3&gt;=$F12,AN$3&lt;=$G12),$H12*Growth!AB$31,0),0)</f>
        <v>1190449.8033998169</v>
      </c>
      <c r="AO12" s="202">
        <f>IF($E12="Yes",IF(AND(AO$3&gt;=$F12,AO$3&lt;=$G12),$H12*Growth!AC$31,0),0)</f>
        <v>1232219.9719401614</v>
      </c>
      <c r="AP12" s="202">
        <f>IF($E12="Yes",IF(AND(AP$3&gt;=$F12,AP$3&lt;=$G12),$H12*Growth!AD$31,0),0)</f>
        <v>1263547.5983454199</v>
      </c>
      <c r="AQ12" s="202">
        <f>IF($E12="Yes",IF(AND(AQ$3&gt;=$F12,AQ$3&lt;=$G12),$H12*Growth!AE$31,0),0)</f>
        <v>0</v>
      </c>
      <c r="AR12" s="202">
        <f>IF($E12="Yes",IF(AND(AR$3&gt;=$F12,AR$3&lt;=$G12),$H12*Growth!AF$31,0),0)</f>
        <v>0</v>
      </c>
      <c r="AS12" s="203">
        <f t="shared" ref="AS12:AS13" si="7">SUM(O12:AR12)</f>
        <v>102618861.56149122</v>
      </c>
    </row>
    <row r="13" spans="1:45" ht="28.8" x14ac:dyDescent="0.3">
      <c r="A13" s="207" t="s">
        <v>269</v>
      </c>
      <c r="B13" s="201" t="s">
        <v>112</v>
      </c>
      <c r="C13" s="201" t="s">
        <v>110</v>
      </c>
      <c r="D13" s="201" t="s">
        <v>108</v>
      </c>
      <c r="E13" s="201" t="s">
        <v>107</v>
      </c>
      <c r="F13" s="201">
        <f t="shared" si="5"/>
        <v>2027</v>
      </c>
      <c r="G13" s="201">
        <f t="shared" si="6"/>
        <v>2054</v>
      </c>
      <c r="H13" s="202">
        <f>'Tamaki Pipe Network  Escal'!G11</f>
        <v>9853793.314898748</v>
      </c>
      <c r="I13" s="143">
        <f>'Tamaki Pipe Network  Escal'!H11</f>
        <v>1</v>
      </c>
      <c r="J13" s="202">
        <f>'Tamaki Scenario Summary'!C12</f>
        <v>14923719.735537276</v>
      </c>
      <c r="K13" s="178">
        <f>K8</f>
        <v>0</v>
      </c>
      <c r="L13" s="178">
        <f>L8</f>
        <v>0</v>
      </c>
      <c r="M13" s="177">
        <v>0</v>
      </c>
      <c r="N13" s="177">
        <f t="shared" ref="N13" si="8">1-M13-I13</f>
        <v>0</v>
      </c>
      <c r="O13" s="202">
        <f>IF($E13="Yes",IF(AND(O$3&gt;=$F13,O$3&lt;=$G13),$H13*Growth!C$31,0),0)</f>
        <v>0</v>
      </c>
      <c r="P13" s="202">
        <f>IF($E13="Yes",IF(AND(P$3&gt;=$F13,P$3&lt;=$G13),$H13*Growth!D$31,0),0)</f>
        <v>0</v>
      </c>
      <c r="Q13" s="202">
        <f>IF($E13="Yes",IF(AND(Q$3&gt;=$F13,Q$3&lt;=$G13),$H13*Growth!E$31,0),0)</f>
        <v>692884.01145772205</v>
      </c>
      <c r="R13" s="202">
        <f>IF($E13="Yes",IF(AND(R$3&gt;=$F13,R$3&lt;=$G13),$H13*Growth!F$31,0),0)</f>
        <v>458246.01047203905</v>
      </c>
      <c r="S13" s="202">
        <f>IF($E13="Yes",IF(AND(S$3&gt;=$F13,S$3&lt;=$G13),$H13*Growth!G$31,0),0)</f>
        <v>487325.07897026476</v>
      </c>
      <c r="T13" s="202">
        <f>IF($E13="Yes",IF(AND(T$3&gt;=$F13,T$3&lt;=$G13),$H13*Growth!H$31,0),0)</f>
        <v>517406.87396842922</v>
      </c>
      <c r="U13" s="202">
        <f>IF($E13="Yes",IF(AND(U$3&gt;=$F13,U$3&lt;=$G13),$H13*Growth!I$31,0),0)</f>
        <v>554507.75446616544</v>
      </c>
      <c r="V13" s="202">
        <f>IF($E13="Yes",IF(AND(V$3&gt;=$F13,V$3&lt;=$G13),$H13*Growth!J$31,0),0)</f>
        <v>589603.18196402397</v>
      </c>
      <c r="W13" s="202">
        <f>IF($E13="Yes",IF(AND(W$3&gt;=$F13,W$3&lt;=$G13),$H13*Growth!K$31,0),0)</f>
        <v>446213.29247277329</v>
      </c>
      <c r="X13" s="202">
        <f>IF($E13="Yes",IF(AND(X$3&gt;=$F13,X$3&lt;=$G13),$H13*Growth!L$31,0),0)</f>
        <v>462256.91647179431</v>
      </c>
      <c r="Y13" s="202">
        <f>IF($E13="Yes",IF(AND(Y$3&gt;=$F13,Y$3&lt;=$G13),$H13*Growth!M$31,0),0)</f>
        <v>481308.71997063182</v>
      </c>
      <c r="Z13" s="202">
        <f>IF($E13="Yes",IF(AND(Z$3&gt;=$F13,Z$3&lt;=$G13),$H13*Growth!N$31,0),0)</f>
        <v>502365.97646934696</v>
      </c>
      <c r="AA13" s="202">
        <f>IF($E13="Yes",IF(AND(AA$3&gt;=$F13,AA$3&lt;=$G13),$H13*Growth!O$31,0),0)</f>
        <v>525428.68596793979</v>
      </c>
      <c r="AB13" s="202">
        <f>IF($E13="Yes",IF(AND(AB$3&gt;=$F13,AB$3&lt;=$G13),$H13*Growth!P$31,0),0)</f>
        <v>405101.50597528182</v>
      </c>
      <c r="AC13" s="202">
        <f>IF($E13="Yes",IF(AND(AC$3&gt;=$F13,AC$3&lt;=$G13),$H13*Growth!Q$31,0),0)</f>
        <v>418136.9504744864</v>
      </c>
      <c r="AD13" s="202">
        <f>IF($E13="Yes",IF(AND(AD$3&gt;=$F13,AD$3&lt;=$G13),$H13*Growth!R$31,0),0)</f>
        <v>435183.30097344628</v>
      </c>
      <c r="AE13" s="202">
        <f>IF($E13="Yes",IF(AND(AE$3&gt;=$F13,AE$3&lt;=$G13),$H13*Growth!S$31,0),0)</f>
        <v>447216.01897271205</v>
      </c>
      <c r="AF13" s="202">
        <f>IF($E13="Yes",IF(AND(AF$3&gt;=$F13,AF$3&lt;=$G13),$H13*Growth!T$31,0),0)</f>
        <v>462256.91647179431</v>
      </c>
      <c r="AG13" s="202">
        <f>IF($E13="Yes",IF(AND(AG$3&gt;=$F13,AG$3&lt;=$G13),$H13*Growth!U$31,0),0)</f>
        <v>269733.42848354159</v>
      </c>
      <c r="AH13" s="202">
        <f>IF($E13="Yes",IF(AND(AH$3&gt;=$F13,AH$3&lt;=$G13),$H13*Growth!V$31,0),0)</f>
        <v>272741.60798335803</v>
      </c>
      <c r="AI13" s="202">
        <f>IF($E13="Yes",IF(AND(AI$3&gt;=$F13,AI$3&lt;=$G13),$H13*Growth!W$31,0),0)</f>
        <v>280763.41998286854</v>
      </c>
      <c r="AJ13" s="202">
        <f>IF($E13="Yes",IF(AND(AJ$3&gt;=$F13,AJ$3&lt;=$G13),$H13*Growth!X$31,0),0)</f>
        <v>284774.32598262385</v>
      </c>
      <c r="AK13" s="202">
        <f>IF($E13="Yes",IF(AND(AK$3&gt;=$F13,AK$3&lt;=$G13),$H13*Growth!Y$31,0),0)</f>
        <v>290790.68498225673</v>
      </c>
      <c r="AL13" s="202">
        <f>IF($E13="Yes",IF(AND(AL$3&gt;=$F13,AL$3&lt;=$G13),$H13*Growth!Z$31,0),0)</f>
        <v>106289.00899351452</v>
      </c>
      <c r="AM13" s="202">
        <f>IF($E13="Yes",IF(AND(AM$3&gt;=$F13,AM$3&lt;=$G13),$H13*Growth!AA$31,0),0)</f>
        <v>109297.18849333098</v>
      </c>
      <c r="AN13" s="202">
        <f>IF($E13="Yes",IF(AND(AN$3&gt;=$F13,AN$3&lt;=$G13),$H13*Growth!AB$31,0),0)</f>
        <v>114310.82099302506</v>
      </c>
      <c r="AO13" s="202">
        <f>IF($E13="Yes",IF(AND(AO$3&gt;=$F13,AO$3&lt;=$G13),$H13*Growth!AC$31,0),0)</f>
        <v>118321.72699278033</v>
      </c>
      <c r="AP13" s="202">
        <f>IF($E13="Yes",IF(AND(AP$3&gt;=$F13,AP$3&lt;=$G13),$H13*Growth!AD$31,0),0)</f>
        <v>121329.90649259678</v>
      </c>
      <c r="AQ13" s="202">
        <f>IF($E13="Yes",IF(AND(AQ$3&gt;=$F13,AQ$3&lt;=$G13),$H13*Growth!AE$31,0),0)</f>
        <v>0</v>
      </c>
      <c r="AR13" s="202">
        <f>IF($E13="Yes",IF(AND(AR$3&gt;=$F13,AR$3&lt;=$G13),$H13*Growth!AF$31,0),0)</f>
        <v>0</v>
      </c>
      <c r="AS13" s="203">
        <f t="shared" si="7"/>
        <v>9853793.3148987498</v>
      </c>
    </row>
    <row r="14" spans="1:45" ht="28.8" x14ac:dyDescent="0.3">
      <c r="A14" s="208" t="s">
        <v>269</v>
      </c>
      <c r="B14" s="204" t="s">
        <v>81</v>
      </c>
      <c r="C14" s="204"/>
      <c r="D14" s="204"/>
      <c r="E14" s="204"/>
      <c r="F14" s="204"/>
      <c r="G14" s="204"/>
      <c r="H14" s="203"/>
      <c r="I14" s="205"/>
      <c r="J14" s="203"/>
      <c r="K14" s="206"/>
      <c r="L14" s="206"/>
      <c r="M14" s="206"/>
      <c r="N14" s="206"/>
      <c r="O14" s="203">
        <f>SUM(O11:O12)</f>
        <v>0</v>
      </c>
      <c r="P14" s="203">
        <f t="shared" ref="P14" si="9">SUM(P11:P12)</f>
        <v>0</v>
      </c>
      <c r="Q14" s="203">
        <f t="shared" ref="Q14" si="10">SUM(Q11:Q12)</f>
        <v>21661895.460194439</v>
      </c>
      <c r="R14" s="203">
        <f t="shared" ref="R14" si="11">SUM(R11:R12)</f>
        <v>14326318.705222659</v>
      </c>
      <c r="S14" s="203">
        <f t="shared" ref="S14" si="12">SUM(S11:S12)</f>
        <v>15235428.644941386</v>
      </c>
      <c r="T14" s="203">
        <f t="shared" ref="T14" si="13">SUM(T11:T12)</f>
        <v>16175887.203271102</v>
      </c>
      <c r="U14" s="203">
        <f t="shared" ref="U14" si="14">SUM(U11:U12)</f>
        <v>17335786.091877747</v>
      </c>
      <c r="V14" s="203">
        <f t="shared" ref="V14" si="15">SUM(V11:V12)</f>
        <v>18432987.743262418</v>
      </c>
      <c r="W14" s="203">
        <f t="shared" ref="W14" si="16">SUM(W11:W12)</f>
        <v>13950135.281890776</v>
      </c>
      <c r="X14" s="203">
        <f t="shared" ref="X14" si="17">SUM(X11:X12)</f>
        <v>14451713.179666622</v>
      </c>
      <c r="Y14" s="203">
        <f t="shared" ref="Y14" si="18">SUM(Y11:Y12)</f>
        <v>15047336.933275441</v>
      </c>
      <c r="Z14" s="203">
        <f t="shared" ref="Z14" si="19">SUM(Z11:Z12)</f>
        <v>15705657.924106244</v>
      </c>
      <c r="AA14" s="203">
        <f t="shared" ref="AA14" si="20">SUM(AA11:AA12)</f>
        <v>16426676.152159024</v>
      </c>
      <c r="AB14" s="203">
        <f t="shared" ref="AB14" si="21">SUM(AB11:AB12)</f>
        <v>12664841.918840164</v>
      </c>
      <c r="AC14" s="203">
        <f t="shared" ref="AC14" si="22">SUM(AC11:AC12)</f>
        <v>13072373.960783038</v>
      </c>
      <c r="AD14" s="203">
        <f t="shared" ref="AD14" si="23">SUM(AD11:AD12)</f>
        <v>13605300.477169879</v>
      </c>
      <c r="AE14" s="203">
        <f t="shared" ref="AE14" si="24">SUM(AE11:AE12)</f>
        <v>13981483.900501765</v>
      </c>
      <c r="AF14" s="203">
        <f t="shared" ref="AF14" si="25">SUM(AF11:AF12)</f>
        <v>14451713.179666622</v>
      </c>
      <c r="AG14" s="203">
        <f t="shared" ref="AG14" si="26">SUM(AG11:AG12)</f>
        <v>8432778.4063564446</v>
      </c>
      <c r="AH14" s="203">
        <f t="shared" ref="AH14" si="27">SUM(AH11:AH12)</f>
        <v>8526824.2621894181</v>
      </c>
      <c r="AI14" s="203">
        <f t="shared" ref="AI14" si="28">SUM(AI11:AI12)</f>
        <v>8777613.2110773399</v>
      </c>
      <c r="AJ14" s="203">
        <f t="shared" ref="AJ14" si="29">SUM(AJ11:AJ12)</f>
        <v>8903007.6855213046</v>
      </c>
      <c r="AK14" s="203">
        <f t="shared" ref="AK14" si="30">SUM(AK11:AK12)</f>
        <v>9091099.397187246</v>
      </c>
      <c r="AL14" s="203">
        <f t="shared" ref="AL14" si="31">SUM(AL11:AL12)</f>
        <v>3322953.5727649932</v>
      </c>
      <c r="AM14" s="203">
        <f t="shared" ref="AM14" si="32">SUM(AM11:AM12)</f>
        <v>3416999.4285979653</v>
      </c>
      <c r="AN14" s="203">
        <f t="shared" ref="AN14" si="33">SUM(AN11:AN12)</f>
        <v>3573742.5216529174</v>
      </c>
      <c r="AO14" s="203">
        <f t="shared" ref="AO14" si="34">SUM(AO11:AO12)</f>
        <v>3699136.9960968792</v>
      </c>
      <c r="AP14" s="203">
        <f t="shared" ref="AP14" si="35">SUM(AP11:AP12)</f>
        <v>3793182.8519298513</v>
      </c>
      <c r="AQ14" s="203">
        <f t="shared" ref="AQ14" si="36">SUM(AQ11:AQ12)</f>
        <v>0</v>
      </c>
      <c r="AR14" s="203">
        <f t="shared" ref="AR14" si="37">SUM(AR11:AR12)</f>
        <v>0</v>
      </c>
      <c r="AS14" s="203">
        <f t="shared" ref="AS14" si="38">SUM(AS11:AS12)</f>
        <v>308062875.0902037</v>
      </c>
    </row>
    <row r="15" spans="1:45" x14ac:dyDescent="0.3">
      <c r="A15" s="107"/>
    </row>
    <row r="16" spans="1:45" x14ac:dyDescent="0.3">
      <c r="A16" s="110"/>
    </row>
    <row r="18" spans="1:45" ht="43.2" x14ac:dyDescent="0.3">
      <c r="A18" s="207" t="s">
        <v>270</v>
      </c>
      <c r="B18" s="201" t="s">
        <v>109</v>
      </c>
      <c r="C18" s="201" t="s">
        <v>110</v>
      </c>
      <c r="D18" s="201" t="s">
        <v>108</v>
      </c>
      <c r="E18" s="201" t="s">
        <v>107</v>
      </c>
      <c r="F18" s="201">
        <f>$C$1</f>
        <v>2027</v>
      </c>
      <c r="G18" s="201">
        <f>$F$1</f>
        <v>2054</v>
      </c>
      <c r="H18" s="202">
        <f>'Tamaki Scenario Summary'!B19</f>
        <v>336007606.18259645</v>
      </c>
      <c r="I18" s="142">
        <f>'Tamaki Scenario Summary'!E19</f>
        <v>5.9594491396580435E-2</v>
      </c>
      <c r="J18" s="202">
        <f>'Tamaki Scenario Summary'!C19</f>
        <v>20024202.39583433</v>
      </c>
      <c r="K18" s="178">
        <v>0.61</v>
      </c>
      <c r="L18" s="178">
        <v>0.5</v>
      </c>
      <c r="M18" s="177">
        <f>(K18+L18)/2*(1-I18)</f>
        <v>0.5219250572748978</v>
      </c>
      <c r="N18" s="177">
        <f>1-M18-I18</f>
        <v>0.41848045132852174</v>
      </c>
      <c r="O18" s="202">
        <f>IF($E18="Yes",IF(AND(O$3&gt;=$F18,O$3&lt;=$G18),$H18*Growth!C$31,0),0)</f>
        <v>0</v>
      </c>
      <c r="P18" s="202">
        <f>IF($E18="Yes",IF(AND(P$3&gt;=$F18,P$3&lt;=$G18),$H18*Growth!D$31,0),0)</f>
        <v>0</v>
      </c>
      <c r="Q18" s="202">
        <f>IF($E18="Yes",IF(AND(Q$3&gt;=$F18,Q$3&lt;=$G18),$H18*Growth!E$31,0),0)</f>
        <v>23626870.445932038</v>
      </c>
      <c r="R18" s="202">
        <f>IF($E18="Yes",IF(AND(R$3&gt;=$F18,R$3&lt;=$G18),$H18*Growth!F$31,0),0)</f>
        <v>15625875.244270537</v>
      </c>
      <c r="S18" s="202">
        <f>IF($E18="Yes",IF(AND(S$3&gt;=$F18,S$3&lt;=$G18),$H18*Growth!G$31,0),0)</f>
        <v>16617451.572681578</v>
      </c>
      <c r="T18" s="202">
        <f>IF($E18="Yes",IF(AND(T$3&gt;=$F18,T$3&lt;=$G18),$H18*Growth!H$31,0),0)</f>
        <v>17643220.188279208</v>
      </c>
      <c r="U18" s="202">
        <f>IF($E18="Yes",IF(AND(U$3&gt;=$F18,U$3&lt;=$G18),$H18*Growth!I$31,0),0)</f>
        <v>18908334.814182948</v>
      </c>
      <c r="V18" s="202">
        <f>IF($E18="Yes",IF(AND(V$3&gt;=$F18,V$3&lt;=$G18),$H18*Growth!J$31,0),0)</f>
        <v>20105064.865713514</v>
      </c>
      <c r="W18" s="202">
        <f>IF($E18="Yes",IF(AND(W$3&gt;=$F18,W$3&lt;=$G18),$H18*Growth!K$31,0),0)</f>
        <v>15215567.798031487</v>
      </c>
      <c r="X18" s="202">
        <f>IF($E18="Yes",IF(AND(X$3&gt;=$F18,X$3&lt;=$G18),$H18*Growth!L$31,0),0)</f>
        <v>15762644.393016888</v>
      </c>
      <c r="Y18" s="202">
        <f>IF($E18="Yes",IF(AND(Y$3&gt;=$F18,Y$3&lt;=$G18),$H18*Growth!M$31,0),0)</f>
        <v>16412297.849562053</v>
      </c>
      <c r="Z18" s="202">
        <f>IF($E18="Yes",IF(AND(Z$3&gt;=$F18,Z$3&lt;=$G18),$H18*Growth!N$31,0),0)</f>
        <v>17130335.880480394</v>
      </c>
      <c r="AA18" s="202">
        <f>IF($E18="Yes",IF(AND(AA$3&gt;=$F18,AA$3&lt;=$G18),$H18*Growth!O$31,0),0)</f>
        <v>17916758.485771909</v>
      </c>
      <c r="AB18" s="202">
        <f>IF($E18="Yes",IF(AND(AB$3&gt;=$F18,AB$3&lt;=$G18),$H18*Growth!P$31,0),0)</f>
        <v>13813684.023381395</v>
      </c>
      <c r="AC18" s="202">
        <f>IF($E18="Yes",IF(AND(AC$3&gt;=$F18,AC$3&lt;=$G18),$H18*Growth!Q$31,0),0)</f>
        <v>14258183.756807033</v>
      </c>
      <c r="AD18" s="202">
        <f>IF($E18="Yes",IF(AND(AD$3&gt;=$F18,AD$3&lt;=$G18),$H18*Growth!R$31,0),0)</f>
        <v>14839452.638979023</v>
      </c>
      <c r="AE18" s="202">
        <f>IF($E18="Yes",IF(AND(AE$3&gt;=$F18,AE$3&lt;=$G18),$H18*Growth!S$31,0),0)</f>
        <v>15249760.085218074</v>
      </c>
      <c r="AF18" s="202">
        <f>IF($E18="Yes",IF(AND(AF$3&gt;=$F18,AF$3&lt;=$G18),$H18*Growth!T$31,0),0)</f>
        <v>15762644.393016888</v>
      </c>
      <c r="AG18" s="202">
        <f>IF($E18="Yes",IF(AND(AG$3&gt;=$F18,AG$3&lt;=$G18),$H18*Growth!U$31,0),0)</f>
        <v>9197725.2531920671</v>
      </c>
      <c r="AH18" s="202">
        <f>IF($E18="Yes",IF(AND(AH$3&gt;=$F18,AH$3&lt;=$G18),$H18*Growth!V$31,0),0)</f>
        <v>9300302.1147518307</v>
      </c>
      <c r="AI18" s="202">
        <f>IF($E18="Yes",IF(AND(AI$3&gt;=$F18,AI$3&lt;=$G18),$H18*Growth!W$31,0),0)</f>
        <v>9573840.4122445304</v>
      </c>
      <c r="AJ18" s="202">
        <f>IF($E18="Yes",IF(AND(AJ$3&gt;=$F18,AJ$3&lt;=$G18),$H18*Growth!X$31,0),0)</f>
        <v>9710609.5609908812</v>
      </c>
      <c r="AK18" s="202">
        <f>IF($E18="Yes",IF(AND(AK$3&gt;=$F18,AK$3&lt;=$G18),$H18*Growth!Y$31,0),0)</f>
        <v>9915763.2841104083</v>
      </c>
      <c r="AL18" s="202">
        <f>IF($E18="Yes",IF(AND(AL$3&gt;=$F18,AL$3&lt;=$G18),$H18*Growth!Z$31,0),0)</f>
        <v>3624382.4417782864</v>
      </c>
      <c r="AM18" s="202">
        <f>IF($E18="Yes",IF(AND(AM$3&gt;=$F18,AM$3&lt;=$G18),$H18*Growth!AA$31,0),0)</f>
        <v>3726959.3033380494</v>
      </c>
      <c r="AN18" s="202">
        <f>IF($E18="Yes",IF(AND(AN$3&gt;=$F18,AN$3&lt;=$G18),$H18*Growth!AB$31,0),0)</f>
        <v>3897920.7392709875</v>
      </c>
      <c r="AO18" s="202">
        <f>IF($E18="Yes",IF(AND(AO$3&gt;=$F18,AO$3&lt;=$G18),$H18*Growth!AC$31,0),0)</f>
        <v>4034689.8880173378</v>
      </c>
      <c r="AP18" s="202">
        <f>IF($E18="Yes",IF(AND(AP$3&gt;=$F18,AP$3&lt;=$G18),$H18*Growth!AD$31,0),0)</f>
        <v>4137266.7495771009</v>
      </c>
      <c r="AQ18" s="202">
        <f>IF($E18="Yes",IF(AND(AQ$3&gt;=$F18,AQ$3&lt;=$G18),$H18*Growth!AE$31,0),0)</f>
        <v>0</v>
      </c>
      <c r="AR18" s="202">
        <f>IF($E18="Yes",IF(AND(AR$3&gt;=$F18,AR$3&lt;=$G18),$H18*Growth!AF$31,0),0)</f>
        <v>0</v>
      </c>
      <c r="AS18" s="203">
        <f>SUM(O18:AR18)</f>
        <v>336007606.18259645</v>
      </c>
    </row>
    <row r="19" spans="1:45" ht="43.2" x14ac:dyDescent="0.3">
      <c r="A19" s="207" t="s">
        <v>270</v>
      </c>
      <c r="B19" s="201" t="s">
        <v>111</v>
      </c>
      <c r="C19" s="201" t="s">
        <v>110</v>
      </c>
      <c r="D19" s="201" t="s">
        <v>108</v>
      </c>
      <c r="E19" s="201" t="s">
        <v>107</v>
      </c>
      <c r="F19" s="201">
        <f t="shared" ref="F19:F20" si="39">$C$1</f>
        <v>2027</v>
      </c>
      <c r="G19" s="201">
        <f t="shared" ref="G19:G20" si="40">$F$1</f>
        <v>2054</v>
      </c>
      <c r="H19" s="202">
        <f>'Tamaki Scenario Summary'!B20</f>
        <v>103201807</v>
      </c>
      <c r="I19" s="142">
        <f>'Tamaki Scenario Summary'!E20</f>
        <v>0</v>
      </c>
      <c r="J19" s="202">
        <f>'Tamaki Scenario Summary'!C20</f>
        <v>0</v>
      </c>
      <c r="K19" s="178">
        <v>0.61</v>
      </c>
      <c r="L19" s="178">
        <v>1</v>
      </c>
      <c r="M19" s="177">
        <f>(K19+L19)/2*(1-I19)</f>
        <v>0.80499999999999994</v>
      </c>
      <c r="N19" s="177">
        <f>1-M19-I19</f>
        <v>0.19500000000000006</v>
      </c>
      <c r="O19" s="202">
        <f>IF($E19="Yes",IF(AND(O$3&gt;=$F19,O$3&lt;=$G19),$H19*Growth!C$31,0),0)</f>
        <v>0</v>
      </c>
      <c r="P19" s="202">
        <f>IF($E19="Yes",IF(AND(P$3&gt;=$F19,P$3&lt;=$G19),$H19*Growth!D$31,0),0)</f>
        <v>0</v>
      </c>
      <c r="Q19" s="202">
        <f>IF($E19="Yes",IF(AND(Q$3&gt;=$F19,Q$3&lt;=$G19),$H19*Growth!E$31,0),0)</f>
        <v>7256787.2837081505</v>
      </c>
      <c r="R19" s="202">
        <f>IF($E19="Yes",IF(AND(R$3&gt;=$F19,R$3&lt;=$G19),$H19*Growth!F$31,0),0)</f>
        <v>4799351.3584003253</v>
      </c>
      <c r="S19" s="202">
        <f>IF($E19="Yes",IF(AND(S$3&gt;=$F19,S$3&lt;=$G19),$H19*Growth!G$31,0),0)</f>
        <v>5103905.3833316369</v>
      </c>
      <c r="T19" s="202">
        <f>IF($E19="Yes",IF(AND(T$3&gt;=$F19,T$3&lt;=$G19),$H19*Growth!H$31,0),0)</f>
        <v>5418961.2711916156</v>
      </c>
      <c r="U19" s="202">
        <f>IF($E19="Yes",IF(AND(U$3&gt;=$F19,U$3&lt;=$G19),$H19*Growth!I$31,0),0)</f>
        <v>5807530.1995522538</v>
      </c>
      <c r="V19" s="202">
        <f>IF($E19="Yes",IF(AND(V$3&gt;=$F19,V$3&lt;=$G19),$H19*Growth!J$31,0),0)</f>
        <v>6175095.4020555615</v>
      </c>
      <c r="W19" s="202">
        <f>IF($E19="Yes",IF(AND(W$3&gt;=$F19,W$3&lt;=$G19),$H19*Growth!K$31,0),0)</f>
        <v>4673329.0032563349</v>
      </c>
      <c r="X19" s="202">
        <f>IF($E19="Yes",IF(AND(X$3&gt;=$F19,X$3&lt;=$G19),$H19*Growth!L$31,0),0)</f>
        <v>4841358.8101149891</v>
      </c>
      <c r="Y19" s="202">
        <f>IF($E19="Yes",IF(AND(Y$3&gt;=$F19,Y$3&lt;=$G19),$H19*Growth!M$31,0),0)</f>
        <v>5040894.2057596417</v>
      </c>
      <c r="Z19" s="202">
        <f>IF($E19="Yes",IF(AND(Z$3&gt;=$F19,Z$3&lt;=$G19),$H19*Growth!N$31,0),0)</f>
        <v>5261433.3272616258</v>
      </c>
      <c r="AA19" s="202">
        <f>IF($E19="Yes",IF(AND(AA$3&gt;=$F19,AA$3&lt;=$G19),$H19*Growth!O$31,0),0)</f>
        <v>5502976.1746209422</v>
      </c>
      <c r="AB19" s="202">
        <f>IF($E19="Yes",IF(AND(AB$3&gt;=$F19,AB$3&lt;=$G19),$H19*Growth!P$31,0),0)</f>
        <v>4242752.623181032</v>
      </c>
      <c r="AC19" s="202">
        <f>IF($E19="Yes",IF(AND(AC$3&gt;=$F19,AC$3&lt;=$G19),$H19*Growth!Q$31,0),0)</f>
        <v>4379276.8412536886</v>
      </c>
      <c r="AD19" s="202">
        <f>IF($E19="Yes",IF(AND(AD$3&gt;=$F19,AD$3&lt;=$G19),$H19*Growth!R$31,0),0)</f>
        <v>4557808.5110410098</v>
      </c>
      <c r="AE19" s="202">
        <f>IF($E19="Yes",IF(AND(AE$3&gt;=$F19,AE$3&lt;=$G19),$H19*Growth!S$31,0),0)</f>
        <v>4683830.8661850002</v>
      </c>
      <c r="AF19" s="202">
        <f>IF($E19="Yes",IF(AND(AF$3&gt;=$F19,AF$3&lt;=$G19),$H19*Growth!T$31,0),0)</f>
        <v>4841358.8101149891</v>
      </c>
      <c r="AG19" s="202">
        <f>IF($E19="Yes",IF(AND(AG$3&gt;=$F19,AG$3&lt;=$G19),$H19*Growth!U$31,0),0)</f>
        <v>2825001.1278111325</v>
      </c>
      <c r="AH19" s="202">
        <f>IF($E19="Yes",IF(AND(AH$3&gt;=$F19,AH$3&lt;=$G19),$H19*Growth!V$31,0),0)</f>
        <v>2856506.7165971305</v>
      </c>
      <c r="AI19" s="202">
        <f>IF($E19="Yes",IF(AND(AI$3&gt;=$F19,AI$3&lt;=$G19),$H19*Growth!W$31,0),0)</f>
        <v>2940521.6200264576</v>
      </c>
      <c r="AJ19" s="202">
        <f>IF($E19="Yes",IF(AND(AJ$3&gt;=$F19,AJ$3&lt;=$G19),$H19*Growth!X$31,0),0)</f>
        <v>2982529.0717411214</v>
      </c>
      <c r="AK19" s="202">
        <f>IF($E19="Yes",IF(AND(AK$3&gt;=$F19,AK$3&lt;=$G19),$H19*Growth!Y$31,0),0)</f>
        <v>3045540.249313117</v>
      </c>
      <c r="AL19" s="202">
        <f>IF($E19="Yes",IF(AND(AL$3&gt;=$F19,AL$3&lt;=$G19),$H19*Growth!Z$31,0),0)</f>
        <v>1113197.4704385875</v>
      </c>
      <c r="AM19" s="202">
        <f>IF($E19="Yes",IF(AND(AM$3&gt;=$F19,AM$3&lt;=$G19),$H19*Growth!AA$31,0),0)</f>
        <v>1144703.0592245853</v>
      </c>
      <c r="AN19" s="202">
        <f>IF($E19="Yes",IF(AND(AN$3&gt;=$F19,AN$3&lt;=$G19),$H19*Growth!AB$31,0),0)</f>
        <v>1197212.3738679148</v>
      </c>
      <c r="AO19" s="202">
        <f>IF($E19="Yes",IF(AND(AO$3&gt;=$F19,AO$3&lt;=$G19),$H19*Growth!AC$31,0),0)</f>
        <v>1239219.8255825785</v>
      </c>
      <c r="AP19" s="202">
        <f>IF($E19="Yes",IF(AND(AP$3&gt;=$F19,AP$3&lt;=$G19),$H19*Growth!AD$31,0),0)</f>
        <v>1270725.4143685764</v>
      </c>
      <c r="AQ19" s="202">
        <f>IF($E19="Yes",IF(AND(AQ$3&gt;=$F19,AQ$3&lt;=$G19),$H19*Growth!AE$31,0),0)</f>
        <v>0</v>
      </c>
      <c r="AR19" s="202">
        <f>IF($E19="Yes",IF(AND(AR$3&gt;=$F19,AR$3&lt;=$G19),$H19*Growth!AF$31,0),0)</f>
        <v>0</v>
      </c>
      <c r="AS19" s="203">
        <f t="shared" ref="AS19:AS20" si="41">SUM(O19:AR19)</f>
        <v>103201806.99999999</v>
      </c>
    </row>
    <row r="20" spans="1:45" ht="43.2" x14ac:dyDescent="0.3">
      <c r="A20" s="207" t="s">
        <v>270</v>
      </c>
      <c r="B20" s="201" t="s">
        <v>112</v>
      </c>
      <c r="C20" s="201" t="s">
        <v>110</v>
      </c>
      <c r="D20" s="201" t="s">
        <v>108</v>
      </c>
      <c r="E20" s="201" t="s">
        <v>107</v>
      </c>
      <c r="F20" s="201">
        <f t="shared" si="39"/>
        <v>2027</v>
      </c>
      <c r="G20" s="201">
        <f t="shared" si="40"/>
        <v>2054</v>
      </c>
      <c r="H20" s="202">
        <f>'Tamaki Pipe Network  Escal'!G18</f>
        <v>4753310.6546016932</v>
      </c>
      <c r="I20" s="143">
        <f>'Tamaki Pipe Network  Escal'!H18</f>
        <v>1</v>
      </c>
      <c r="J20" s="202">
        <f>'Tamaki Scenario Summary'!C19</f>
        <v>20024202.39583433</v>
      </c>
      <c r="K20" s="178">
        <f>K8</f>
        <v>0</v>
      </c>
      <c r="L20" s="178">
        <f>L8</f>
        <v>0</v>
      </c>
      <c r="M20" s="177">
        <f>M8</f>
        <v>0</v>
      </c>
      <c r="N20" s="177">
        <f t="shared" ref="N20" si="42">1-M20-I20</f>
        <v>0</v>
      </c>
      <c r="O20" s="202">
        <f>IF($E20="Yes",IF(AND(O$3&gt;=$F20,O$3&lt;=$G20),$H20*Growth!C$31,0),0)</f>
        <v>0</v>
      </c>
      <c r="P20" s="202">
        <f>IF($E20="Yes",IF(AND(P$3&gt;=$F20,P$3&lt;=$G20),$H20*Growth!D$31,0),0)</f>
        <v>0</v>
      </c>
      <c r="Q20" s="202">
        <f>IF($E20="Yes",IF(AND(Q$3&gt;=$F20,Q$3&lt;=$G20),$H20*Growth!E$31,0),0)</f>
        <v>334236.04989618092</v>
      </c>
      <c r="R20" s="202">
        <f>IF($E20="Yes",IF(AND(R$3&gt;=$F20,R$3&lt;=$G20),$H20*Growth!F$31,0),0)</f>
        <v>221050.47004711241</v>
      </c>
      <c r="S20" s="202">
        <f>IF($E20="Yes",IF(AND(S$3&gt;=$F20,S$3&lt;=$G20),$H20*Growth!G$31,0),0)</f>
        <v>235077.74276344996</v>
      </c>
      <c r="T20" s="202">
        <f>IF($E20="Yes",IF(AND(T$3&gt;=$F20,T$3&lt;=$G20),$H20*Growth!H$31,0),0)</f>
        <v>249588.71453897157</v>
      </c>
      <c r="U20" s="202">
        <f>IF($E20="Yes",IF(AND(U$3&gt;=$F20,U$3&lt;=$G20),$H20*Growth!I$31,0),0)</f>
        <v>267485.57972878154</v>
      </c>
      <c r="V20" s="202">
        <f>IF($E20="Yes",IF(AND(V$3&gt;=$F20,V$3&lt;=$G20),$H20*Growth!J$31,0),0)</f>
        <v>284415.04680022341</v>
      </c>
      <c r="W20" s="202">
        <f>IF($E20="Yes",IF(AND(W$3&gt;=$F20,W$3&lt;=$G20),$H20*Growth!K$31,0),0)</f>
        <v>215246.08133690379</v>
      </c>
      <c r="X20" s="202">
        <f>IF($E20="Yes",IF(AND(X$3&gt;=$F20,X$3&lt;=$G20),$H20*Growth!L$31,0),0)</f>
        <v>222985.26628384864</v>
      </c>
      <c r="Y20" s="202">
        <f>IF($E20="Yes",IF(AND(Y$3&gt;=$F20,Y$3&lt;=$G20),$H20*Growth!M$31,0),0)</f>
        <v>232175.54840834564</v>
      </c>
      <c r="Z20" s="202">
        <f>IF($E20="Yes",IF(AND(Z$3&gt;=$F20,Z$3&lt;=$G20),$H20*Growth!N$31,0),0)</f>
        <v>242333.22865121078</v>
      </c>
      <c r="AA20" s="202">
        <f>IF($E20="Yes",IF(AND(AA$3&gt;=$F20,AA$3&lt;=$G20),$H20*Growth!O$31,0),0)</f>
        <v>253458.30701244401</v>
      </c>
      <c r="AB20" s="202">
        <f>IF($E20="Yes",IF(AND(AB$3&gt;=$F20,AB$3&lt;=$G20),$H20*Growth!P$31,0),0)</f>
        <v>195414.4199103576</v>
      </c>
      <c r="AC20" s="202">
        <f>IF($E20="Yes",IF(AND(AC$3&gt;=$F20,AC$3&lt;=$G20),$H20*Growth!Q$31,0),0)</f>
        <v>201702.50767975027</v>
      </c>
      <c r="AD20" s="202">
        <f>IF($E20="Yes",IF(AND(AD$3&gt;=$F20,AD$3&lt;=$G20),$H20*Growth!R$31,0),0)</f>
        <v>209925.39168587921</v>
      </c>
      <c r="AE20" s="202">
        <f>IF($E20="Yes",IF(AND(AE$3&gt;=$F20,AE$3&lt;=$G20),$H20*Growth!S$31,0),0)</f>
        <v>215729.78039608782</v>
      </c>
      <c r="AF20" s="202">
        <f>IF($E20="Yes",IF(AND(AF$3&gt;=$F20,AF$3&lt;=$G20),$H20*Growth!T$31,0),0)</f>
        <v>222985.26628384864</v>
      </c>
      <c r="AG20" s="202">
        <f>IF($E20="Yes",IF(AND(AG$3&gt;=$F20,AG$3&lt;=$G20),$H20*Growth!U$31,0),0)</f>
        <v>130115.04692051037</v>
      </c>
      <c r="AH20" s="202">
        <f>IF($E20="Yes",IF(AND(AH$3&gt;=$F20,AH$3&lt;=$G20),$H20*Growth!V$31,0),0)</f>
        <v>131566.14409806253</v>
      </c>
      <c r="AI20" s="202">
        <f>IF($E20="Yes",IF(AND(AI$3&gt;=$F20,AI$3&lt;=$G20),$H20*Growth!W$31,0),0)</f>
        <v>135435.73657153497</v>
      </c>
      <c r="AJ20" s="202">
        <f>IF($E20="Yes",IF(AND(AJ$3&gt;=$F20,AJ$3&lt;=$G20),$H20*Growth!X$31,0),0)</f>
        <v>137370.53280827118</v>
      </c>
      <c r="AK20" s="202">
        <f>IF($E20="Yes",IF(AND(AK$3&gt;=$F20,AK$3&lt;=$G20),$H20*Growth!Y$31,0),0)</f>
        <v>140272.7271633755</v>
      </c>
      <c r="AL20" s="202">
        <f>IF($E20="Yes",IF(AND(AL$3&gt;=$F20,AL$3&lt;=$G20),$H20*Growth!Z$31,0),0)</f>
        <v>51272.100273509663</v>
      </c>
      <c r="AM20" s="202">
        <f>IF($E20="Yes",IF(AND(AM$3&gt;=$F20,AM$3&lt;=$G20),$H20*Growth!AA$31,0),0)</f>
        <v>52723.197451061824</v>
      </c>
      <c r="AN20" s="202">
        <f>IF($E20="Yes",IF(AND(AN$3&gt;=$F20,AN$3&lt;=$G20),$H20*Growth!AB$31,0),0)</f>
        <v>55141.692746982088</v>
      </c>
      <c r="AO20" s="202">
        <f>IF($E20="Yes",IF(AND(AO$3&gt;=$F20,AO$3&lt;=$G20),$H20*Growth!AC$31,0),0)</f>
        <v>57076.488983718307</v>
      </c>
      <c r="AP20" s="202">
        <f>IF($E20="Yes",IF(AND(AP$3&gt;=$F20,AP$3&lt;=$G20),$H20*Growth!AD$31,0),0)</f>
        <v>58527.586161270468</v>
      </c>
      <c r="AQ20" s="202">
        <f>IF($E20="Yes",IF(AND(AQ$3&gt;=$F20,AQ$3&lt;=$G20),$H20*Growth!AE$31,0),0)</f>
        <v>0</v>
      </c>
      <c r="AR20" s="202">
        <f>IF($E20="Yes",IF(AND(AR$3&gt;=$F20,AR$3&lt;=$G20),$H20*Growth!AF$31,0),0)</f>
        <v>0</v>
      </c>
      <c r="AS20" s="203">
        <f t="shared" si="41"/>
        <v>4753310.6546016932</v>
      </c>
    </row>
    <row r="21" spans="1:45" ht="43.2" x14ac:dyDescent="0.3">
      <c r="A21" s="208" t="s">
        <v>270</v>
      </c>
      <c r="B21" s="204" t="s">
        <v>81</v>
      </c>
      <c r="C21" s="204"/>
      <c r="D21" s="204"/>
      <c r="E21" s="204"/>
      <c r="F21" s="204"/>
      <c r="G21" s="204"/>
      <c r="H21" s="203"/>
      <c r="I21" s="205"/>
      <c r="J21" s="203"/>
      <c r="K21" s="206"/>
      <c r="L21" s="206"/>
      <c r="M21" s="206"/>
      <c r="N21" s="206"/>
      <c r="O21" s="203">
        <f>SUM(O18:O19)</f>
        <v>0</v>
      </c>
      <c r="P21" s="203">
        <f t="shared" ref="P21" si="43">SUM(P18:P19)</f>
        <v>0</v>
      </c>
      <c r="Q21" s="203">
        <f t="shared" ref="Q21" si="44">SUM(Q18:Q19)</f>
        <v>30883657.72964019</v>
      </c>
      <c r="R21" s="203">
        <f t="shared" ref="R21" si="45">SUM(R18:R19)</f>
        <v>20425226.602670863</v>
      </c>
      <c r="S21" s="203">
        <f t="shared" ref="S21" si="46">SUM(S18:S19)</f>
        <v>21721356.956013214</v>
      </c>
      <c r="T21" s="203">
        <f t="shared" ref="T21" si="47">SUM(T18:T19)</f>
        <v>23062181.459470823</v>
      </c>
      <c r="U21" s="203">
        <f t="shared" ref="U21" si="48">SUM(U18:U19)</f>
        <v>24715865.013735201</v>
      </c>
      <c r="V21" s="203">
        <f t="shared" ref="V21" si="49">SUM(V18:V19)</f>
        <v>26280160.267769076</v>
      </c>
      <c r="W21" s="203">
        <f t="shared" ref="W21" si="50">SUM(W18:W19)</f>
        <v>19888896.801287822</v>
      </c>
      <c r="X21" s="203">
        <f t="shared" ref="X21" si="51">SUM(X18:X19)</f>
        <v>20604003.203131877</v>
      </c>
      <c r="Y21" s="203">
        <f t="shared" ref="Y21" si="52">SUM(Y18:Y19)</f>
        <v>21453192.055321693</v>
      </c>
      <c r="Z21" s="203">
        <f t="shared" ref="Z21" si="53">SUM(Z18:Z19)</f>
        <v>22391769.20774202</v>
      </c>
      <c r="AA21" s="203">
        <f t="shared" ref="AA21" si="54">SUM(AA18:AA19)</f>
        <v>23419734.660392851</v>
      </c>
      <c r="AB21" s="203">
        <f t="shared" ref="AB21" si="55">SUM(AB18:AB19)</f>
        <v>18056436.646562427</v>
      </c>
      <c r="AC21" s="203">
        <f t="shared" ref="AC21" si="56">SUM(AC18:AC19)</f>
        <v>18637460.59806072</v>
      </c>
      <c r="AD21" s="203">
        <f t="shared" ref="AD21" si="57">SUM(AD18:AD19)</f>
        <v>19397261.150020033</v>
      </c>
      <c r="AE21" s="203">
        <f t="shared" ref="AE21" si="58">SUM(AE18:AE19)</f>
        <v>19933590.951403074</v>
      </c>
      <c r="AF21" s="203">
        <f t="shared" ref="AF21" si="59">SUM(AF18:AF19)</f>
        <v>20604003.203131877</v>
      </c>
      <c r="AG21" s="203">
        <f t="shared" ref="AG21" si="60">SUM(AG18:AG19)</f>
        <v>12022726.381003199</v>
      </c>
      <c r="AH21" s="203">
        <f t="shared" ref="AH21" si="61">SUM(AH18:AH19)</f>
        <v>12156808.831348961</v>
      </c>
      <c r="AI21" s="203">
        <f t="shared" ref="AI21" si="62">SUM(AI18:AI19)</f>
        <v>12514362.032270988</v>
      </c>
      <c r="AJ21" s="203">
        <f t="shared" ref="AJ21" si="63">SUM(AJ18:AJ19)</f>
        <v>12693138.632732002</v>
      </c>
      <c r="AK21" s="203">
        <f t="shared" ref="AK21" si="64">SUM(AK18:AK19)</f>
        <v>12961303.533423524</v>
      </c>
      <c r="AL21" s="203">
        <f t="shared" ref="AL21" si="65">SUM(AL18:AL19)</f>
        <v>4737579.9122168738</v>
      </c>
      <c r="AM21" s="203">
        <f t="shared" ref="AM21" si="66">SUM(AM18:AM19)</f>
        <v>4871662.362562635</v>
      </c>
      <c r="AN21" s="203">
        <f t="shared" ref="AN21" si="67">SUM(AN18:AN19)</f>
        <v>5095133.113138902</v>
      </c>
      <c r="AO21" s="203">
        <f t="shared" ref="AO21" si="68">SUM(AO18:AO19)</f>
        <v>5273909.7135999165</v>
      </c>
      <c r="AP21" s="203">
        <f t="shared" ref="AP21" si="69">SUM(AP18:AP19)</f>
        <v>5407992.1639456768</v>
      </c>
      <c r="AQ21" s="203">
        <f t="shared" ref="AQ21" si="70">SUM(AQ18:AQ19)</f>
        <v>0</v>
      </c>
      <c r="AR21" s="203">
        <f t="shared" ref="AR21" si="71">SUM(AR18:AR19)</f>
        <v>0</v>
      </c>
      <c r="AS21" s="203">
        <f t="shared" ref="AS21" si="72">SUM(AS18:AS19)</f>
        <v>439209413.18259645</v>
      </c>
    </row>
    <row r="22" spans="1:45" x14ac:dyDescent="0.3">
      <c r="A22" s="107"/>
    </row>
    <row r="23" spans="1:45" x14ac:dyDescent="0.3">
      <c r="A23" s="107"/>
    </row>
    <row r="24" spans="1:45" x14ac:dyDescent="0.3">
      <c r="A24" s="204" t="s">
        <v>275</v>
      </c>
      <c r="B24" s="201" t="s">
        <v>112</v>
      </c>
      <c r="C24" s="201" t="s">
        <v>110</v>
      </c>
      <c r="D24" s="201" t="s">
        <v>108</v>
      </c>
      <c r="E24" s="201" t="s">
        <v>107</v>
      </c>
      <c r="F24" s="201">
        <f t="shared" ref="F24" si="73">$C$1</f>
        <v>2027</v>
      </c>
      <c r="G24" s="201">
        <f t="shared" ref="G24" si="74">$F$1</f>
        <v>2054</v>
      </c>
      <c r="H24" s="202">
        <f>J7</f>
        <v>24777513.050436024</v>
      </c>
      <c r="I24" s="143">
        <v>1</v>
      </c>
      <c r="J24" s="202">
        <f>H24</f>
        <v>24777513.050436024</v>
      </c>
      <c r="K24" s="143">
        <v>0</v>
      </c>
      <c r="L24" s="143">
        <v>0</v>
      </c>
      <c r="M24" s="143">
        <v>0</v>
      </c>
      <c r="N24" s="143">
        <f>1-M24-I24</f>
        <v>0</v>
      </c>
      <c r="O24" s="202">
        <f>IF($E24="Yes",IF(AND(O$3&gt;=$F24,O$3&lt;=$G24),$H24*Growth!C$31,0),0)</f>
        <v>0</v>
      </c>
      <c r="P24" s="202">
        <f>IF($E24="Yes",IF(AND(P$3&gt;=$F24,P$3&lt;=$G24),$H24*Growth!D$31,0),0)</f>
        <v>0</v>
      </c>
      <c r="Q24" s="202">
        <f>IF($E24="Yes",IF(AND(Q$3&gt;=$F24,Q$3&lt;=$G24),$H24*Growth!E$31,0),0)</f>
        <v>1742267.3774143984</v>
      </c>
      <c r="R24" s="202">
        <f>IF($E24="Yes",IF(AND(R$3&gt;=$F24,R$3&lt;=$G24),$H24*Growth!F$31,0),0)</f>
        <v>1152266.5578558322</v>
      </c>
      <c r="S24" s="202">
        <f>IF($E24="Yes",IF(AND(S$3&gt;=$F24,S$3&lt;=$G24),$H24*Growth!G$31,0),0)</f>
        <v>1225386.3175447143</v>
      </c>
      <c r="T24" s="202">
        <f>IF($E24="Yes",IF(AND(T$3&gt;=$F24,T$3&lt;=$G24),$H24*Growth!H$31,0),0)</f>
        <v>1301027.4482573511</v>
      </c>
      <c r="U24" s="202">
        <f>IF($E24="Yes",IF(AND(U$3&gt;=$F24,U$3&lt;=$G24),$H24*Growth!I$31,0),0)</f>
        <v>1394318.1761362695</v>
      </c>
      <c r="V24" s="202">
        <f>IF($E24="Yes",IF(AND(V$3&gt;=$F24,V$3&lt;=$G24),$H24*Growth!J$31,0),0)</f>
        <v>1482566.1619676792</v>
      </c>
      <c r="W24" s="202">
        <f>IF($E24="Yes",IF(AND(W$3&gt;=$F24,W$3&lt;=$G24),$H24*Growth!K$31,0),0)</f>
        <v>1122010.1055707776</v>
      </c>
      <c r="X24" s="202">
        <f>IF($E24="Yes",IF(AND(X$3&gt;=$F24,X$3&lt;=$G24),$H24*Growth!L$31,0),0)</f>
        <v>1162352.0419508505</v>
      </c>
      <c r="Y24" s="202">
        <f>IF($E24="Yes",IF(AND(Y$3&gt;=$F24,Y$3&lt;=$G24),$H24*Growth!M$31,0),0)</f>
        <v>1210258.091402187</v>
      </c>
      <c r="Z24" s="202">
        <f>IF($E24="Yes",IF(AND(Z$3&gt;=$F24,Z$3&lt;=$G24),$H24*Growth!N$31,0),0)</f>
        <v>1263206.8829010327</v>
      </c>
      <c r="AA24" s="202">
        <f>IF($E24="Yes",IF(AND(AA$3&gt;=$F24,AA$3&lt;=$G24),$H24*Growth!O$31,0),0)</f>
        <v>1321198.4164473875</v>
      </c>
      <c r="AB24" s="202">
        <f>IF($E24="Yes",IF(AND(AB$3&gt;=$F24,AB$3&lt;=$G24),$H24*Growth!P$31,0),0)</f>
        <v>1018633.8935968407</v>
      </c>
      <c r="AC24" s="202">
        <f>IF($E24="Yes",IF(AND(AC$3&gt;=$F24,AC$3&lt;=$G24),$H24*Growth!Q$31,0),0)</f>
        <v>1051411.7169056498</v>
      </c>
      <c r="AD24" s="202">
        <f>IF($E24="Yes",IF(AND(AD$3&gt;=$F24,AD$3&lt;=$G24),$H24*Growth!R$31,0),0)</f>
        <v>1094275.0243094775</v>
      </c>
      <c r="AE24" s="202">
        <f>IF($E24="Yes",IF(AND(AE$3&gt;=$F24,AE$3&lt;=$G24),$H24*Growth!S$31,0),0)</f>
        <v>1124531.4765945321</v>
      </c>
      <c r="AF24" s="202">
        <f>IF($E24="Yes",IF(AND(AF$3&gt;=$F24,AF$3&lt;=$G24),$H24*Growth!T$31,0),0)</f>
        <v>1162352.0419508505</v>
      </c>
      <c r="AG24" s="202">
        <f>IF($E24="Yes",IF(AND(AG$3&gt;=$F24,AG$3&lt;=$G24),$H24*Growth!U$31,0),0)</f>
        <v>678248.80538997555</v>
      </c>
      <c r="AH24" s="202">
        <f>IF($E24="Yes",IF(AND(AH$3&gt;=$F24,AH$3&lt;=$G24),$H24*Growth!V$31,0),0)</f>
        <v>685812.91846123931</v>
      </c>
      <c r="AI24" s="202">
        <f>IF($E24="Yes",IF(AND(AI$3&gt;=$F24,AI$3&lt;=$G24),$H24*Growth!W$31,0),0)</f>
        <v>705983.88665127568</v>
      </c>
      <c r="AJ24" s="202">
        <f>IF($E24="Yes",IF(AND(AJ$3&gt;=$F24,AJ$3&lt;=$G24),$H24*Growth!X$31,0),0)</f>
        <v>716069.37074629392</v>
      </c>
      <c r="AK24" s="202">
        <f>IF($E24="Yes",IF(AND(AK$3&gt;=$F24,AK$3&lt;=$G24),$H24*Growth!Y$31,0),0)</f>
        <v>731197.59688882134</v>
      </c>
      <c r="AL24" s="202">
        <f>IF($E24="Yes",IF(AND(AL$3&gt;=$F24,AL$3&lt;=$G24),$H24*Growth!Z$31,0),0)</f>
        <v>267265.32851798297</v>
      </c>
      <c r="AM24" s="202">
        <f>IF($E24="Yes",IF(AND(AM$3&gt;=$F24,AM$3&lt;=$G24),$H24*Growth!AA$31,0),0)</f>
        <v>274829.44158924662</v>
      </c>
      <c r="AN24" s="202">
        <f>IF($E24="Yes",IF(AND(AN$3&gt;=$F24,AN$3&lt;=$G24),$H24*Growth!AB$31,0),0)</f>
        <v>287436.29670801939</v>
      </c>
      <c r="AO24" s="202">
        <f>IF($E24="Yes",IF(AND(AO$3&gt;=$F24,AO$3&lt;=$G24),$H24*Growth!AC$31,0),0)</f>
        <v>297521.78080303763</v>
      </c>
      <c r="AP24" s="202">
        <f>IF($E24="Yes",IF(AND(AP$3&gt;=$F24,AP$3&lt;=$G24),$H24*Growth!AD$31,0),0)</f>
        <v>305085.89387430128</v>
      </c>
      <c r="AQ24" s="202">
        <f>IF($E24="Yes",IF(AND(AQ$3&gt;=$F24,AQ$3&lt;=$G24),$H24*Growth!AE$31,0),0)</f>
        <v>0</v>
      </c>
      <c r="AR24" s="202">
        <f>IF($E24="Yes",IF(AND(AR$3&gt;=$F24,AR$3&lt;=$G24),$H24*Growth!AF$31,0),0)</f>
        <v>0</v>
      </c>
      <c r="AS24" s="203">
        <f t="shared" ref="AS24" si="75">SUM(O24:AR24)</f>
        <v>24777513.050436027</v>
      </c>
    </row>
  </sheetData>
  <sheetProtection algorithmName="SHA-512" hashValue="ep9FKc1NCbFkh9Ce3WFbXNlCoxj6XqYLv4Xx/Ol/h03/6xyEhm4jynZ5Xu+Wnr6ojoyw19bTzgVk2rECYqqj+w==" saltValue="T9KN473onGRlc0PfqZjZo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8CDB-A0FD-4F1F-9D67-DA4B245F1456}">
  <sheetPr>
    <tabColor theme="5" tint="0.59999389629810485"/>
  </sheetPr>
  <dimension ref="A1:AR49"/>
  <sheetViews>
    <sheetView topLeftCell="B1" workbookViewId="0">
      <selection activeCell="B33" sqref="A33:XFD35"/>
    </sheetView>
  </sheetViews>
  <sheetFormatPr defaultColWidth="9.109375" defaultRowHeight="14.4" x14ac:dyDescent="0.3"/>
  <cols>
    <col min="1" max="1" width="26.33203125" style="15" customWidth="1"/>
    <col min="2" max="2" width="62.44140625" style="15" customWidth="1"/>
    <col min="3" max="3" width="31.6640625" style="15" customWidth="1"/>
    <col min="4" max="4" width="14.88671875" style="15" bestFit="1" customWidth="1"/>
    <col min="5" max="5" width="12.44140625" style="15" bestFit="1" customWidth="1"/>
    <col min="6" max="6" width="12.33203125" style="15" customWidth="1"/>
    <col min="7" max="7" width="16.109375" style="15" customWidth="1"/>
    <col min="8" max="8" width="15.33203125" style="15" bestFit="1" customWidth="1"/>
    <col min="9" max="9" width="18.109375" style="15" customWidth="1"/>
    <col min="10" max="10" width="20.109375" style="15" customWidth="1"/>
    <col min="11" max="11" width="17" style="15" customWidth="1"/>
    <col min="12" max="12" width="15.5546875" style="15" customWidth="1"/>
    <col min="13" max="13" width="13.5546875" style="15" customWidth="1"/>
    <col min="14" max="28" width="10.109375" style="15" bestFit="1" customWidth="1"/>
    <col min="29" max="29" width="12" style="15" bestFit="1" customWidth="1"/>
    <col min="30" max="36" width="10.109375" style="15" bestFit="1" customWidth="1"/>
    <col min="37" max="42" width="12" style="15" bestFit="1" customWidth="1"/>
    <col min="43" max="43" width="5" style="15" bestFit="1" customWidth="1"/>
    <col min="44" max="44" width="13.88671875" style="15" customWidth="1"/>
    <col min="45" max="16384" width="9.109375" style="15"/>
  </cols>
  <sheetData>
    <row r="1" spans="1:44" x14ac:dyDescent="0.3">
      <c r="C1" s="15" t="s">
        <v>144</v>
      </c>
      <c r="D1" s="209">
        <v>2027</v>
      </c>
      <c r="F1" s="15" t="s">
        <v>145</v>
      </c>
      <c r="G1" s="209">
        <v>2054</v>
      </c>
      <c r="J1" s="175"/>
      <c r="L1" s="164"/>
      <c r="O1" s="15" t="s">
        <v>242</v>
      </c>
      <c r="P1" s="15">
        <f>'Tamaki Specific Proj Escalated'!Q15</f>
        <v>1.032</v>
      </c>
      <c r="Q1" s="15">
        <f>'Tamaki Specific Proj Escalated'!R15</f>
        <v>1.065024</v>
      </c>
      <c r="R1" s="15">
        <f>'Tamaki Specific Proj Escalated'!S15</f>
        <v>1.0980397439999998</v>
      </c>
      <c r="S1" s="15">
        <f>'Tamaki Specific Proj Escalated'!T15</f>
        <v>1.1320789760639998</v>
      </c>
      <c r="T1" s="15">
        <f>'Tamaki Specific Proj Escalated'!U15</f>
        <v>1.1671734243219836</v>
      </c>
      <c r="U1" s="15">
        <f>'Tamaki Specific Proj Escalated'!V15</f>
        <v>1.203355800475965</v>
      </c>
      <c r="V1" s="15">
        <f>'Tamaki Specific Proj Escalated'!W15</f>
        <v>1.2406598302907199</v>
      </c>
      <c r="W1" s="15">
        <f>'Tamaki Specific Proj Escalated'!X15</f>
        <v>1.2791202850297321</v>
      </c>
      <c r="X1" s="15">
        <f>'Tamaki Specific Proj Escalated'!Y15</f>
        <v>1.3187730138656537</v>
      </c>
      <c r="Y1" s="15">
        <f>'Tamaki Specific Proj Escalated'!Z15</f>
        <v>1.3596549772954889</v>
      </c>
      <c r="Z1" s="15">
        <f>'Tamaki Specific Proj Escalated'!AA15</f>
        <v>1.4018042815916489</v>
      </c>
      <c r="AA1" s="15">
        <f>'Tamaki Specific Proj Escalated'!AB15</f>
        <v>1.4452602143209898</v>
      </c>
      <c r="AB1" s="15">
        <f>'Tamaki Specific Proj Escalated'!AC15</f>
        <v>1.4900632809649403</v>
      </c>
      <c r="AC1" s="15">
        <f>'Tamaki Specific Proj Escalated'!AD15</f>
        <v>1.5362552426748535</v>
      </c>
      <c r="AD1" s="15">
        <f>'Tamaki Specific Proj Escalated'!AE15</f>
        <v>1.5838791551977738</v>
      </c>
      <c r="AE1" s="15">
        <f>'Tamaki Specific Proj Escalated'!AF15</f>
        <v>1.6329794090089047</v>
      </c>
      <c r="AF1" s="15">
        <f>'Tamaki Specific Proj Escalated'!AG15</f>
        <v>1.6836017706881805</v>
      </c>
      <c r="AG1" s="15">
        <f>'Tamaki Specific Proj Escalated'!AH15</f>
        <v>1.735793425579514</v>
      </c>
      <c r="AH1" s="15">
        <f>'Tamaki Specific Proj Escalated'!AI15</f>
        <v>1.7896030217724788</v>
      </c>
      <c r="AI1" s="15">
        <f>'Tamaki Specific Proj Escalated'!AJ15</f>
        <v>1.8450807154474254</v>
      </c>
      <c r="AJ1" s="15">
        <f>'Tamaki Specific Proj Escalated'!AK15</f>
        <v>1.9022782176262953</v>
      </c>
      <c r="AK1" s="15">
        <f>'Tamaki Specific Proj Escalated'!AL15</f>
        <v>1.9612488423727104</v>
      </c>
      <c r="AL1" s="15">
        <f>'Tamaki Specific Proj Escalated'!AM15</f>
        <v>2.0220475564862643</v>
      </c>
      <c r="AM1" s="15">
        <f>'Tamaki Specific Proj Escalated'!AN15</f>
        <v>2.0847310307373386</v>
      </c>
      <c r="AN1" s="15">
        <f>'Tamaki Specific Proj Escalated'!AO15</f>
        <v>2.1493576926901961</v>
      </c>
      <c r="AO1" s="15">
        <f>'Tamaki Specific Proj Escalated'!AP15</f>
        <v>2.2159877811635917</v>
      </c>
      <c r="AP1" s="15">
        <f>'Tamaki Specific Proj Escalated'!AQ15</f>
        <v>2.2846834023796627</v>
      </c>
      <c r="AQ1" s="15">
        <f>'Tamaki Specific Proj Escalated'!AR15</f>
        <v>2.3555085878534321</v>
      </c>
      <c r="AR1" s="15">
        <f>'Tamaki Specific Proj Escalated'!AS15</f>
        <v>2.4285293540768884</v>
      </c>
    </row>
    <row r="2" spans="1:44" x14ac:dyDescent="0.3">
      <c r="H2" s="176"/>
      <c r="I2" s="176"/>
      <c r="J2" s="176"/>
    </row>
    <row r="3" spans="1:44" ht="43.2" x14ac:dyDescent="0.3">
      <c r="A3" s="38" t="s">
        <v>133</v>
      </c>
      <c r="B3" s="38" t="s">
        <v>258</v>
      </c>
      <c r="C3" s="38" t="s">
        <v>93</v>
      </c>
      <c r="D3" s="38" t="s">
        <v>96</v>
      </c>
      <c r="E3" s="38" t="s">
        <v>97</v>
      </c>
      <c r="F3" s="38" t="s">
        <v>98</v>
      </c>
      <c r="G3" s="38" t="s">
        <v>254</v>
      </c>
      <c r="H3" s="38" t="s">
        <v>100</v>
      </c>
      <c r="I3" s="38" t="s">
        <v>253</v>
      </c>
      <c r="J3" s="38" t="s">
        <v>244</v>
      </c>
      <c r="K3" s="38" t="s">
        <v>103</v>
      </c>
      <c r="L3" s="38" t="s">
        <v>104</v>
      </c>
      <c r="M3" s="38" t="s">
        <v>105</v>
      </c>
      <c r="N3" s="38">
        <v>2025</v>
      </c>
      <c r="O3" s="38">
        <v>2026</v>
      </c>
      <c r="P3" s="38">
        <v>2027</v>
      </c>
      <c r="Q3" s="38">
        <v>2028</v>
      </c>
      <c r="R3" s="38">
        <v>2029</v>
      </c>
      <c r="S3" s="38">
        <v>2030</v>
      </c>
      <c r="T3" s="38">
        <v>2031</v>
      </c>
      <c r="U3" s="38">
        <v>2032</v>
      </c>
      <c r="V3" s="38">
        <v>2033</v>
      </c>
      <c r="W3" s="38">
        <v>2034</v>
      </c>
      <c r="X3" s="38">
        <v>2035</v>
      </c>
      <c r="Y3" s="38">
        <v>2036</v>
      </c>
      <c r="Z3" s="38">
        <v>2037</v>
      </c>
      <c r="AA3" s="38">
        <v>2038</v>
      </c>
      <c r="AB3" s="38">
        <v>2039</v>
      </c>
      <c r="AC3" s="38">
        <v>2040</v>
      </c>
      <c r="AD3" s="38">
        <v>2041</v>
      </c>
      <c r="AE3" s="38">
        <v>2042</v>
      </c>
      <c r="AF3" s="38">
        <v>2043</v>
      </c>
      <c r="AG3" s="38">
        <v>2044</v>
      </c>
      <c r="AH3" s="38">
        <v>2045</v>
      </c>
      <c r="AI3" s="38">
        <v>2046</v>
      </c>
      <c r="AJ3" s="38">
        <v>2047</v>
      </c>
      <c r="AK3" s="38">
        <v>2048</v>
      </c>
      <c r="AL3" s="38">
        <v>2049</v>
      </c>
      <c r="AM3" s="38">
        <v>2050</v>
      </c>
      <c r="AN3" s="38">
        <v>2051</v>
      </c>
      <c r="AO3" s="38">
        <v>2052</v>
      </c>
      <c r="AP3" s="38">
        <v>2053</v>
      </c>
      <c r="AQ3" s="38">
        <v>2054</v>
      </c>
      <c r="AR3" s="38" t="s">
        <v>251</v>
      </c>
    </row>
    <row r="4" spans="1:44" ht="43.2" x14ac:dyDescent="0.3">
      <c r="A4" s="221" t="s">
        <v>130</v>
      </c>
      <c r="B4" s="207" t="s">
        <v>271</v>
      </c>
      <c r="C4" s="221" t="s">
        <v>109</v>
      </c>
      <c r="D4" s="221" t="s">
        <v>107</v>
      </c>
      <c r="E4" s="221">
        <f>$D$1</f>
        <v>2027</v>
      </c>
      <c r="F4" s="221">
        <f>$G$1</f>
        <v>2054</v>
      </c>
      <c r="G4" s="222">
        <f>'Tamaki Scenario Summary'!B4</f>
        <v>362240239</v>
      </c>
      <c r="H4" s="177">
        <f>'Tamaki Scenario Summary'!E4</f>
        <v>6.1260557666637426E-2</v>
      </c>
      <c r="I4" s="222">
        <f>'Tamaki Scenario Summary'!C4</f>
        <v>22191039.050436024</v>
      </c>
      <c r="J4" s="178">
        <v>0.5</v>
      </c>
      <c r="K4" s="178">
        <v>1</v>
      </c>
      <c r="L4" s="177">
        <f>(J4+K4)/2*(1-H4)</f>
        <v>0.70405458175002189</v>
      </c>
      <c r="M4" s="177">
        <f>1-L4-H4</f>
        <v>0.23468486058334068</v>
      </c>
      <c r="N4" s="222">
        <f>'Tamaki Pipe Network UnEscal'!O4*'Tamaki Pipe Network  Escal'!P$1</f>
        <v>0</v>
      </c>
      <c r="O4" s="222">
        <f>'Tamaki Pipe Network UnEscal'!P4*'Tamaki Pipe Network  Escal'!Q$1</f>
        <v>0</v>
      </c>
      <c r="P4" s="222">
        <f>'Tamaki Pipe Network UnEscal'!Q4*'Tamaki Pipe Network  Escal'!R$1</f>
        <v>27968671.811840706</v>
      </c>
      <c r="Q4" s="222">
        <f>'Tamaki Pipe Network UnEscal'!R4*'Tamaki Pipe Network  Escal'!S$1</f>
        <v>19070788.989246812</v>
      </c>
      <c r="R4" s="222">
        <f>'Tamaki Pipe Network UnEscal'!S4*'Tamaki Pipe Network  Escal'!T$1</f>
        <v>20909680.42819681</v>
      </c>
      <c r="S4" s="222">
        <f>'Tamaki Pipe Network UnEscal'!T4*'Tamaki Pipe Network  Escal'!U$1</f>
        <v>22888613.886993807</v>
      </c>
      <c r="T4" s="222">
        <f>'Tamaki Pipe Network UnEscal'!U4*'Tamaki Pipe Network  Escal'!V$1</f>
        <v>25290277.107310675</v>
      </c>
      <c r="U4" s="222">
        <f>'Tamaki Pipe Network UnEscal'!V4*'Tamaki Pipe Network  Escal'!W$1</f>
        <v>27724546.31141182</v>
      </c>
      <c r="V4" s="222">
        <f>'Tamaki Pipe Network UnEscal'!W4*'Tamaki Pipe Network  Escal'!X$1</f>
        <v>21632454.464190792</v>
      </c>
      <c r="W4" s="222">
        <f>'Tamaki Pipe Network UnEscal'!X4*'Tamaki Pipe Network  Escal'!Y$1</f>
        <v>23104968.347729672</v>
      </c>
      <c r="X4" s="222">
        <f>'Tamaki Pipe Network UnEscal'!Y4*'Tamaki Pipe Network  Escal'!Z$1</f>
        <v>24803008.103957616</v>
      </c>
      <c r="Y4" s="222">
        <f>'Tamaki Pipe Network UnEscal'!Z4*'Tamaki Pipe Network  Escal'!AA$1</f>
        <v>26690672.039469436</v>
      </c>
      <c r="Z4" s="222">
        <f>'Tamaki Pipe Network UnEscal'!AA4*'Tamaki Pipe Network  Escal'!AB$1</f>
        <v>28781388.074433379</v>
      </c>
      <c r="AA4" s="222">
        <f>'Tamaki Pipe Network UnEscal'!AB4*'Tamaki Pipe Network  Escal'!AC$1</f>
        <v>22878127.645639863</v>
      </c>
      <c r="AB4" s="222">
        <f>'Tamaki Pipe Network UnEscal'!AC4*'Tamaki Pipe Network  Escal'!AD$1</f>
        <v>24346348.476007447</v>
      </c>
      <c r="AC4" s="222">
        <f>'Tamaki Pipe Network UnEscal'!AD4*'Tamaki Pipe Network  Escal'!AE$1</f>
        <v>26124390.913629346</v>
      </c>
      <c r="AD4" s="222">
        <f>'Tamaki Pipe Network UnEscal'!AE4*'Tamaki Pipe Network  Escal'!AF$1</f>
        <v>27678972.756337613</v>
      </c>
      <c r="AE4" s="222">
        <f>'Tamaki Pipe Network UnEscal'!AF4*'Tamaki Pipe Network  Escal'!AG$1</f>
        <v>29496786.189086232</v>
      </c>
      <c r="AF4" s="222">
        <f>'Tamaki Pipe Network UnEscal'!AG4*'Tamaki Pipe Network  Escal'!AH$1</f>
        <v>17745356.149446823</v>
      </c>
      <c r="AG4" s="222">
        <f>'Tamaki Pipe Network UnEscal'!AH4*'Tamaki Pipe Network  Escal'!AI$1</f>
        <v>18499500.801864948</v>
      </c>
      <c r="AH4" s="222">
        <f>'Tamaki Pipe Network UnEscal'!AI4*'Tamaki Pipe Network  Escal'!AJ$1</f>
        <v>19633955.483391076</v>
      </c>
      <c r="AI4" s="222">
        <f>'Tamaki Pipe Network UnEscal'!AJ4*'Tamaki Pipe Network  Escal'!AK$1</f>
        <v>20531788.219138715</v>
      </c>
      <c r="AJ4" s="222">
        <f>'Tamaki Pipe Network UnEscal'!AK4*'Tamaki Pipe Network  Escal'!AL$1</f>
        <v>21615490.702958748</v>
      </c>
      <c r="AK4" s="222">
        <f>'Tamaki Pipe Network UnEscal'!AL4*'Tamaki Pipe Network  Escal'!AM$1</f>
        <v>8145760.4033225849</v>
      </c>
      <c r="AL4" s="222">
        <f>'Tamaki Pipe Network UnEscal'!AM4*'Tamaki Pipe Network  Escal'!AN$1</f>
        <v>8635966.1166508384</v>
      </c>
      <c r="AM4" s="222">
        <f>'Tamaki Pipe Network UnEscal'!AN4*'Tamaki Pipe Network  Escal'!AO$1</f>
        <v>9312106.8032517377</v>
      </c>
      <c r="AN4" s="222">
        <f>'Tamaki Pipe Network UnEscal'!AO4*'Tamaki Pipe Network  Escal'!AP$1</f>
        <v>9937651.662017541</v>
      </c>
      <c r="AO4" s="222">
        <f>'Tamaki Pipe Network UnEscal'!AP4*'Tamaki Pipe Network  Escal'!AQ$1</f>
        <v>10506203.241426697</v>
      </c>
      <c r="AP4" s="222">
        <f>IF($D4="Yes",IF(AND(AP$3&gt;=$E4,AP$3&lt;=$F4),$G4*Growth!AE$31,0),0)</f>
        <v>0</v>
      </c>
      <c r="AQ4" s="222">
        <f>IF($D4="Yes",IF(AND(AQ$3&gt;=$E4,AQ$3&lt;=$F4),$G4*Growth!AF$31,0),0)</f>
        <v>0</v>
      </c>
      <c r="AR4" s="222">
        <f>SUM(N4:AQ4)</f>
        <v>543953475.12895179</v>
      </c>
    </row>
    <row r="5" spans="1:44" ht="43.2" x14ac:dyDescent="0.3">
      <c r="A5" s="221" t="s">
        <v>130</v>
      </c>
      <c r="B5" s="207" t="s">
        <v>272</v>
      </c>
      <c r="C5" s="221" t="s">
        <v>111</v>
      </c>
      <c r="D5" s="221" t="s">
        <v>107</v>
      </c>
      <c r="E5" s="221">
        <f>$D$1</f>
        <v>2027</v>
      </c>
      <c r="F5" s="221">
        <f>$G$1</f>
        <v>2054</v>
      </c>
      <c r="G5" s="222">
        <f>'Tamaki Scenario Summary'!B5</f>
        <v>116685980</v>
      </c>
      <c r="H5" s="177">
        <f>'Tamaki Scenario Summary'!E5</f>
        <v>0</v>
      </c>
      <c r="I5" s="222">
        <f>'Tamaki Scenario Summary'!C5</f>
        <v>0</v>
      </c>
      <c r="J5" s="178">
        <v>1</v>
      </c>
      <c r="K5" s="178">
        <v>1</v>
      </c>
      <c r="L5" s="177">
        <f>(J5+K5)/2*(1-H5)</f>
        <v>1</v>
      </c>
      <c r="M5" s="177">
        <f>1-L5-H5</f>
        <v>0</v>
      </c>
      <c r="N5" s="222">
        <f>'Tamaki Pipe Network UnEscal'!O5*'Tamaki Pipe Network  Escal'!P$1</f>
        <v>0</v>
      </c>
      <c r="O5" s="222">
        <f>'Tamaki Pipe Network UnEscal'!P5*'Tamaki Pipe Network  Escal'!Q$1</f>
        <v>0</v>
      </c>
      <c r="P5" s="222">
        <f>'Tamaki Pipe Network UnEscal'!Q5*'Tamaki Pipe Network  Escal'!R$1</f>
        <v>9009357.6811686233</v>
      </c>
      <c r="Q5" s="222">
        <f>'Tamaki Pipe Network UnEscal'!R5*'Tamaki Pipe Network  Escal'!S$1</f>
        <v>6143143.3148526438</v>
      </c>
      <c r="R5" s="222">
        <f>'Tamaki Pipe Network UnEscal'!S5*'Tamaki Pipe Network  Escal'!T$1</f>
        <v>6735492.8844637945</v>
      </c>
      <c r="S5" s="222">
        <f>'Tamaki Pipe Network UnEscal'!T5*'Tamaki Pipe Network  Escal'!U$1</f>
        <v>7372953.2357267505</v>
      </c>
      <c r="T5" s="222">
        <f>'Tamaki Pipe Network UnEscal'!U5*'Tamaki Pipe Network  Escal'!V$1</f>
        <v>8146584.6447227849</v>
      </c>
      <c r="U5" s="222">
        <f>'Tamaki Pipe Network UnEscal'!V5*'Tamaki Pipe Network  Escal'!W$1</f>
        <v>8930719.1971085072</v>
      </c>
      <c r="V5" s="222">
        <f>'Tamaki Pipe Network UnEscal'!W5*'Tamaki Pipe Network  Escal'!X$1</f>
        <v>6968315.1599275451</v>
      </c>
      <c r="W5" s="222">
        <f>'Tamaki Pipe Network UnEscal'!X5*'Tamaki Pipe Network  Escal'!Y$1</f>
        <v>7442646.023993535</v>
      </c>
      <c r="X5" s="222">
        <f>'Tamaki Pipe Network UnEscal'!Y5*'Tamaki Pipe Network  Escal'!Z$1</f>
        <v>7989624.0007677218</v>
      </c>
      <c r="Y5" s="222">
        <f>'Tamaki Pipe Network UnEscal'!Z5*'Tamaki Pipe Network  Escal'!AA$1</f>
        <v>8597684.3223761488</v>
      </c>
      <c r="Z5" s="222">
        <f>'Tamaki Pipe Network UnEscal'!AA5*'Tamaki Pipe Network  Escal'!AB$1</f>
        <v>9271152.4332490619</v>
      </c>
      <c r="AA5" s="222">
        <f>'Tamaki Pipe Network UnEscal'!AB5*'Tamaki Pipe Network  Escal'!AC$1</f>
        <v>7369575.3742492981</v>
      </c>
      <c r="AB5" s="222">
        <f>'Tamaki Pipe Network UnEscal'!AC5*'Tamaki Pipe Network  Escal'!AD$1</f>
        <v>7842523.3463487057</v>
      </c>
      <c r="AC5" s="222">
        <f>'Tamaki Pipe Network UnEscal'!AD5*'Tamaki Pipe Network  Escal'!AE$1</f>
        <v>8415272.0417676605</v>
      </c>
      <c r="AD5" s="222">
        <f>'Tamaki Pipe Network UnEscal'!AE5*'Tamaki Pipe Network  Escal'!AF$1</f>
        <v>8916038.8983360715</v>
      </c>
      <c r="AE5" s="222">
        <f>'Tamaki Pipe Network UnEscal'!AF5*'Tamaki Pipe Network  Escal'!AG$1</f>
        <v>9501598.7534283642</v>
      </c>
      <c r="AF5" s="222">
        <f>'Tamaki Pipe Network UnEscal'!AG5*'Tamaki Pipe Network  Escal'!AH$1</f>
        <v>5716190.6652430985</v>
      </c>
      <c r="AG5" s="222">
        <f>'Tamaki Pipe Network UnEscal'!AH5*'Tamaki Pipe Network  Escal'!AI$1</f>
        <v>5959118.1436262177</v>
      </c>
      <c r="AH5" s="222">
        <f>'Tamaki Pipe Network UnEscal'!AI5*'Tamaki Pipe Network  Escal'!AJ$1</f>
        <v>6324552.3003750602</v>
      </c>
      <c r="AI5" s="222">
        <f>'Tamaki Pipe Network UnEscal'!AJ5*'Tamaki Pipe Network  Escal'!AK$1</f>
        <v>6613765.0419964958</v>
      </c>
      <c r="AJ5" s="222">
        <f>'Tamaki Pipe Network UnEscal'!AK5*'Tamaki Pipe Network  Escal'!AL$1</f>
        <v>6962850.7391075091</v>
      </c>
      <c r="AK5" s="222">
        <f>'Tamaki Pipe Network UnEscal'!AL5*'Tamaki Pipe Network  Escal'!AM$1</f>
        <v>2623938.2961175968</v>
      </c>
      <c r="AL5" s="222">
        <f>'Tamaki Pipe Network UnEscal'!AM5*'Tamaki Pipe Network  Escal'!AN$1</f>
        <v>2781844.9224471645</v>
      </c>
      <c r="AM5" s="222">
        <f>'Tamaki Pipe Network UnEscal'!AN5*'Tamaki Pipe Network  Escal'!AO$1</f>
        <v>2999645.514815642</v>
      </c>
      <c r="AN5" s="222">
        <f>'Tamaki Pipe Network UnEscal'!AO5*'Tamaki Pipe Network  Escal'!AP$1</f>
        <v>3201148.0179073797</v>
      </c>
      <c r="AO5" s="222">
        <f>'Tamaki Pipe Network UnEscal'!AP5*'Tamaki Pipe Network  Escal'!AQ$1</f>
        <v>3384291.6642539282</v>
      </c>
      <c r="AP5" s="222">
        <f>IF($D5="Yes",IF(AND(AP$3&gt;=$E5,AP$3&lt;=$F5),$G5*Growth!AE$31,0),0)</f>
        <v>0</v>
      </c>
      <c r="AQ5" s="222">
        <f>IF($D5="Yes",IF(AND(AQ$3&gt;=$E5,AQ$3&lt;=$F5),$G5*Growth!AF$31,0),0)</f>
        <v>0</v>
      </c>
      <c r="AR5" s="222">
        <f t="shared" ref="AR5:AR6" si="0">SUM(N5:AQ5)</f>
        <v>175220026.61837733</v>
      </c>
    </row>
    <row r="6" spans="1:44" x14ac:dyDescent="0.3">
      <c r="A6" s="221" t="s">
        <v>130</v>
      </c>
      <c r="B6" s="207" t="s">
        <v>266</v>
      </c>
      <c r="C6" s="221" t="s">
        <v>112</v>
      </c>
      <c r="D6" s="221" t="s">
        <v>107</v>
      </c>
      <c r="E6" s="221">
        <f>$D$1</f>
        <v>2027</v>
      </c>
      <c r="F6" s="221">
        <f>$G$1</f>
        <v>2054</v>
      </c>
      <c r="G6" s="222">
        <f>'Tamaki Scenario Summary'!B6</f>
        <v>2586474</v>
      </c>
      <c r="H6" s="177">
        <f>'Tamaki Scenario Summary'!E6</f>
        <v>1</v>
      </c>
      <c r="I6" s="222">
        <f>'Tamaki Scenario Summary'!C6</f>
        <v>2586474</v>
      </c>
      <c r="J6" s="178">
        <v>0</v>
      </c>
      <c r="K6" s="178">
        <v>0</v>
      </c>
      <c r="L6" s="177">
        <f t="shared" ref="L6" si="1">75%*(1-H6)</f>
        <v>0</v>
      </c>
      <c r="M6" s="177">
        <f t="shared" ref="M6" si="2">1-L6-H6</f>
        <v>0</v>
      </c>
      <c r="N6" s="222">
        <f>'Tamaki Pipe Network UnEscal'!O6*'Tamaki Pipe Network  Escal'!P$1</f>
        <v>0</v>
      </c>
      <c r="O6" s="222">
        <f>'Tamaki Pipe Network UnEscal'!P6*'Tamaki Pipe Network  Escal'!Q$1</f>
        <v>0</v>
      </c>
      <c r="P6" s="222">
        <f>'Tamaki Pipe Network UnEscal'!Q6*'Tamaki Pipe Network  Escal'!R$1</f>
        <v>199702.39268713287</v>
      </c>
      <c r="Q6" s="222">
        <f>'Tamaki Pipe Network UnEscal'!R6*'Tamaki Pipe Network  Escal'!S$1</f>
        <v>136169.57634619152</v>
      </c>
      <c r="R6" s="222">
        <f>'Tamaki Pipe Network UnEscal'!S6*'Tamaki Pipe Network  Escal'!T$1</f>
        <v>149299.66070345906</v>
      </c>
      <c r="S6" s="222">
        <f>'Tamaki Pipe Network UnEscal'!T6*'Tamaki Pipe Network  Escal'!U$1</f>
        <v>163429.67550534446</v>
      </c>
      <c r="T6" s="222">
        <f>'Tamaki Pipe Network UnEscal'!U6*'Tamaki Pipe Network  Escal'!V$1</f>
        <v>180578.07263884417</v>
      </c>
      <c r="U6" s="222">
        <f>'Tamaki Pipe Network UnEscal'!V6*'Tamaki Pipe Network  Escal'!W$1</f>
        <v>197959.28357992988</v>
      </c>
      <c r="V6" s="222">
        <f>'Tamaki Pipe Network UnEscal'!W6*'Tamaki Pipe Network  Escal'!X$1</f>
        <v>154460.4243368264</v>
      </c>
      <c r="W6" s="222">
        <f>'Tamaki Pipe Network UnEscal'!X6*'Tamaki Pipe Network  Escal'!Y$1</f>
        <v>164974.49335612261</v>
      </c>
      <c r="X6" s="222">
        <f>'Tamaki Pipe Network UnEscal'!Y6*'Tamaki Pipe Network  Escal'!Z$1</f>
        <v>177098.86609995214</v>
      </c>
      <c r="Y6" s="222">
        <f>'Tamaki Pipe Network UnEscal'!Z6*'Tamaki Pipe Network  Escal'!AA$1</f>
        <v>190577.19667807163</v>
      </c>
      <c r="Z6" s="222">
        <f>'Tamaki Pipe Network UnEscal'!AA6*'Tamaki Pipe Network  Escal'!AB$1</f>
        <v>205505.36335758105</v>
      </c>
      <c r="AA6" s="222">
        <f>'Tamaki Pipe Network UnEscal'!AB6*'Tamaki Pipe Network  Escal'!AC$1</f>
        <v>163354.80146403261</v>
      </c>
      <c r="AB6" s="222">
        <f>'Tamaki Pipe Network UnEscal'!AC6*'Tamaki Pipe Network  Escal'!AD$1</f>
        <v>173838.21715105727</v>
      </c>
      <c r="AC6" s="222">
        <f>'Tamaki Pipe Network UnEscal'!AD6*'Tamaki Pipe Network  Escal'!AE$1</f>
        <v>186533.8264199261</v>
      </c>
      <c r="AD6" s="222">
        <f>'Tamaki Pipe Network UnEscal'!AE6*'Tamaki Pipe Network  Escal'!AF$1</f>
        <v>197633.87849624173</v>
      </c>
      <c r="AE6" s="222">
        <f>'Tamaki Pipe Network UnEscal'!AF6*'Tamaki Pipe Network  Escal'!AG$1</f>
        <v>210613.46131021803</v>
      </c>
      <c r="AF6" s="222">
        <f>'Tamaki Pipe Network UnEscal'!AG6*'Tamaki Pipe Network  Escal'!AH$1</f>
        <v>126705.69793126799</v>
      </c>
      <c r="AG6" s="222">
        <f>'Tamaki Pipe Network UnEscal'!AH6*'Tamaki Pipe Network  Escal'!AI$1</f>
        <v>132090.45458089717</v>
      </c>
      <c r="AH6" s="222">
        <f>'Tamaki Pipe Network UnEscal'!AI6*'Tamaki Pipe Network  Escal'!AJ$1</f>
        <v>140190.7074574022</v>
      </c>
      <c r="AI6" s="222">
        <f>'Tamaki Pipe Network UnEscal'!AJ6*'Tamaki Pipe Network  Escal'!AK$1</f>
        <v>146601.42823698994</v>
      </c>
      <c r="AJ6" s="222">
        <f>'Tamaki Pipe Network UnEscal'!AK6*'Tamaki Pipe Network  Escal'!AL$1</f>
        <v>154339.29939640008</v>
      </c>
      <c r="AK6" s="222">
        <f>'Tamaki Pipe Network UnEscal'!AL6*'Tamaki Pipe Network  Escal'!AM$1</f>
        <v>58162.498875293037</v>
      </c>
      <c r="AL6" s="222">
        <f>'Tamaki Pipe Network UnEscal'!AM6*'Tamaki Pipe Network  Escal'!AN$1</f>
        <v>61662.674161382602</v>
      </c>
      <c r="AM6" s="222">
        <f>'Tamaki Pipe Network UnEscal'!AN6*'Tamaki Pipe Network  Escal'!AO$1</f>
        <v>66490.465549393964</v>
      </c>
      <c r="AN6" s="222">
        <f>'Tamaki Pipe Network UnEscal'!AO6*'Tamaki Pipe Network  Escal'!AP$1</f>
        <v>70956.991735159376</v>
      </c>
      <c r="AO6" s="222">
        <f>'Tamaki Pipe Network UnEscal'!AP6*'Tamaki Pipe Network  Escal'!AQ$1</f>
        <v>75016.573525024301</v>
      </c>
      <c r="AP6" s="222">
        <f>IF($D6="Yes",IF(AND(AP$3&gt;=$E6,AP$3&lt;=$F6),$G6*Growth!AE$31,0),0)</f>
        <v>0</v>
      </c>
      <c r="AQ6" s="222">
        <f>IF($D6="Yes",IF(AND(AQ$3&gt;=$E6,AQ$3&lt;=$F6),$G6*Growth!AF$31,0),0)</f>
        <v>0</v>
      </c>
      <c r="AR6" s="222">
        <f t="shared" si="0"/>
        <v>3883945.9815801415</v>
      </c>
    </row>
    <row r="7" spans="1:44" x14ac:dyDescent="0.3">
      <c r="A7" s="208" t="s">
        <v>130</v>
      </c>
      <c r="B7" s="208" t="s">
        <v>81</v>
      </c>
      <c r="C7" s="223" t="s">
        <v>81</v>
      </c>
      <c r="D7" s="223"/>
      <c r="E7" s="223"/>
      <c r="F7" s="223"/>
      <c r="G7" s="224">
        <f>G4+G5+G6</f>
        <v>481512693</v>
      </c>
      <c r="H7" s="225">
        <f>(H4*($G4/$G$7))+(H5*($G5/$G$7))+(H6*($G6/$G$7))</f>
        <v>5.1457652956276322E-2</v>
      </c>
      <c r="I7" s="224">
        <f>I4+I5+I6</f>
        <v>24777513.050436024</v>
      </c>
      <c r="J7" s="226"/>
      <c r="K7" s="226"/>
      <c r="L7" s="227">
        <f>(L4*($G4/$G7))+(L5*($G5/$G7))+(L6*($G6/$G7))</f>
        <v>0.7719897842073562</v>
      </c>
      <c r="M7" s="227">
        <f>(M4*($G4/$G$7))+(M5*($G5/$G$7))+(M6*($G6/$G$7))</f>
        <v>0.17655256283636744</v>
      </c>
      <c r="N7" s="224">
        <f>'Tamaki Pipe Network UnEscal'!O7*'Tamaki Pipe Network  Escal'!P$1</f>
        <v>0</v>
      </c>
      <c r="O7" s="224">
        <f>'Tamaki Pipe Network UnEscal'!P7*'Tamaki Pipe Network  Escal'!Q$1</f>
        <v>0</v>
      </c>
      <c r="P7" s="224">
        <f>'Tamaki Pipe Network UnEscal'!Q7*'Tamaki Pipe Network  Escal'!R$1</f>
        <v>37177731.885696463</v>
      </c>
      <c r="Q7" s="224">
        <f>'Tamaki Pipe Network UnEscal'!R7*'Tamaki Pipe Network  Escal'!S$1</f>
        <v>25350101.880445644</v>
      </c>
      <c r="R7" s="224">
        <f>'Tamaki Pipe Network UnEscal'!S7*'Tamaki Pipe Network  Escal'!T$1</f>
        <v>27794472.973364063</v>
      </c>
      <c r="S7" s="224">
        <f>'Tamaki Pipe Network UnEscal'!T7*'Tamaki Pipe Network  Escal'!U$1</f>
        <v>30424996.798225902</v>
      </c>
      <c r="T7" s="224">
        <f>'Tamaki Pipe Network UnEscal'!U7*'Tamaki Pipe Network  Escal'!V$1</f>
        <v>33617439.824672304</v>
      </c>
      <c r="U7" s="224">
        <f>'Tamaki Pipe Network UnEscal'!V7*'Tamaki Pipe Network  Escal'!W$1</f>
        <v>36853224.792100258</v>
      </c>
      <c r="V7" s="224">
        <f>'Tamaki Pipe Network UnEscal'!W7*'Tamaki Pipe Network  Escal'!X$1</f>
        <v>28755230.048455164</v>
      </c>
      <c r="W7" s="224">
        <f>'Tamaki Pipe Network UnEscal'!X7*'Tamaki Pipe Network  Escal'!Y$1</f>
        <v>30712588.865079332</v>
      </c>
      <c r="X7" s="224">
        <f>'Tamaki Pipe Network UnEscal'!Y7*'Tamaki Pipe Network  Escal'!Z$1</f>
        <v>32969730.970825288</v>
      </c>
      <c r="Y7" s="224">
        <f>'Tamaki Pipe Network UnEscal'!Z7*'Tamaki Pipe Network  Escal'!AA$1</f>
        <v>35478933.558523655</v>
      </c>
      <c r="Z7" s="224">
        <f>'Tamaki Pipe Network UnEscal'!AA7*'Tamaki Pipe Network  Escal'!AB$1</f>
        <v>38258045.871040024</v>
      </c>
      <c r="AA7" s="224">
        <f>'Tamaki Pipe Network UnEscal'!AB7*'Tamaki Pipe Network  Escal'!AC$1</f>
        <v>30411057.821353197</v>
      </c>
      <c r="AB7" s="224">
        <f>'Tamaki Pipe Network UnEscal'!AC7*'Tamaki Pipe Network  Escal'!AD$1</f>
        <v>32362710.03950721</v>
      </c>
      <c r="AC7" s="224">
        <f>'Tamaki Pipe Network UnEscal'!AD7*'Tamaki Pipe Network  Escal'!AE$1</f>
        <v>34726196.78181693</v>
      </c>
      <c r="AD7" s="224">
        <f>'Tamaki Pipe Network UnEscal'!AE7*'Tamaki Pipe Network  Escal'!AF$1</f>
        <v>36792645.533169925</v>
      </c>
      <c r="AE7" s="224">
        <f>'Tamaki Pipe Network UnEscal'!AF7*'Tamaki Pipe Network  Escal'!AG$1</f>
        <v>39208998.403824821</v>
      </c>
      <c r="AF7" s="224">
        <f>'Tamaki Pipe Network UnEscal'!AG7*'Tamaki Pipe Network  Escal'!AH$1</f>
        <v>23588252.512621187</v>
      </c>
      <c r="AG7" s="224">
        <f>'Tamaki Pipe Network UnEscal'!AH7*'Tamaki Pipe Network  Escal'!AI$1</f>
        <v>24590709.400072064</v>
      </c>
      <c r="AH7" s="224">
        <f>'Tamaki Pipe Network UnEscal'!AI7*'Tamaki Pipe Network  Escal'!AJ$1</f>
        <v>26098698.49122354</v>
      </c>
      <c r="AI7" s="224">
        <f>'Tamaki Pipe Network UnEscal'!AJ7*'Tamaki Pipe Network  Escal'!AK$1</f>
        <v>27292154.689372201</v>
      </c>
      <c r="AJ7" s="224">
        <f>'Tamaki Pipe Network UnEscal'!AK7*'Tamaki Pipe Network  Escal'!AL$1</f>
        <v>28732680.741462655</v>
      </c>
      <c r="AK7" s="224">
        <f>'Tamaki Pipe Network UnEscal'!AL7*'Tamaki Pipe Network  Escal'!AM$1</f>
        <v>10827861.198315477</v>
      </c>
      <c r="AL7" s="224">
        <f>'Tamaki Pipe Network UnEscal'!AM7*'Tamaki Pipe Network  Escal'!AN$1</f>
        <v>11479473.713259386</v>
      </c>
      <c r="AM7" s="224">
        <f>'Tamaki Pipe Network UnEscal'!AN7*'Tamaki Pipe Network  Escal'!AO$1</f>
        <v>12378242.783616774</v>
      </c>
      <c r="AN7" s="224">
        <f>'Tamaki Pipe Network UnEscal'!AO7*'Tamaki Pipe Network  Escal'!AP$1</f>
        <v>13209756.671660081</v>
      </c>
      <c r="AO7" s="224">
        <f>'Tamaki Pipe Network UnEscal'!AP7*'Tamaki Pipe Network  Escal'!AQ$1</f>
        <v>13965511.479205649</v>
      </c>
      <c r="AP7" s="224">
        <f t="shared" ref="AP7:AQ7" si="3">AP4+AP5+AP6</f>
        <v>0</v>
      </c>
      <c r="AQ7" s="224">
        <f t="shared" si="3"/>
        <v>0</v>
      </c>
      <c r="AR7" s="224">
        <f>AR4+AR5+AR6</f>
        <v>723057447.72890925</v>
      </c>
    </row>
    <row r="8" spans="1:44" x14ac:dyDescent="0.3">
      <c r="B8" s="228"/>
      <c r="L8" s="229"/>
      <c r="M8" s="229"/>
    </row>
    <row r="9" spans="1:44" ht="72" x14ac:dyDescent="0.3">
      <c r="A9" s="207" t="s">
        <v>269</v>
      </c>
      <c r="B9" s="207" t="s">
        <v>261</v>
      </c>
      <c r="C9" s="221" t="s">
        <v>109</v>
      </c>
      <c r="D9" s="221" t="s">
        <v>107</v>
      </c>
      <c r="E9" s="221">
        <f>$D$1</f>
        <v>2027</v>
      </c>
      <c r="F9" s="221">
        <f>$G$1</f>
        <v>2054</v>
      </c>
      <c r="G9" s="222">
        <f>'Tamaki Scenario Summary'!B12</f>
        <v>205444013.52871245</v>
      </c>
      <c r="H9" s="177">
        <f>'Tamaki Scenario Summary'!E12</f>
        <v>7.2641297642150895E-2</v>
      </c>
      <c r="I9" s="222">
        <f>'Tamaki Scenario Summary'!C12</f>
        <v>14923719.735537276</v>
      </c>
      <c r="J9" s="178">
        <v>0.61</v>
      </c>
      <c r="K9" s="178">
        <v>0.5</v>
      </c>
      <c r="L9" s="177">
        <f>(J9+K9)/2*(1-H9)</f>
        <v>0.5146840798086062</v>
      </c>
      <c r="M9" s="177">
        <f>1-L9-H9</f>
        <v>0.41267462254924292</v>
      </c>
      <c r="N9" s="222">
        <f>'Tamaki Pipe Network UnEscal'!O11*'Tamaki Pipe Network  Escal'!P$1</f>
        <v>0</v>
      </c>
      <c r="O9" s="222">
        <f>'Tamaki Pipe Network UnEscal'!P11*'Tamaki Pipe Network  Escal'!Q$1</f>
        <v>0</v>
      </c>
      <c r="P9" s="222">
        <f>'Tamaki Pipe Network UnEscal'!Q11*'Tamaki Pipe Network  Escal'!R$1</f>
        <v>15862390.677397713</v>
      </c>
      <c r="Q9" s="222">
        <f>'Tamaki Pipe Network UnEscal'!R11*'Tamaki Pipe Network  Escal'!S$1</f>
        <v>10815969.650213385</v>
      </c>
      <c r="R9" s="222">
        <f>'Tamaki Pipe Network UnEscal'!S11*'Tamaki Pipe Network  Escal'!T$1</f>
        <v>11858894.198586037</v>
      </c>
      <c r="S9" s="222">
        <f>'Tamaki Pipe Network UnEscal'!T11*'Tamaki Pipe Network  Escal'!U$1</f>
        <v>12981243.370516414</v>
      </c>
      <c r="T9" s="222">
        <f>'Tamaki Pipe Network UnEscal'!U11*'Tamaki Pipe Network  Escal'!V$1</f>
        <v>14343343.098830113</v>
      </c>
      <c r="U9" s="222">
        <f>'Tamaki Pipe Network UnEscal'!V11*'Tamaki Pipe Network  Escal'!W$1</f>
        <v>15723935.262418775</v>
      </c>
      <c r="V9" s="222">
        <f>'Tamaki Pipe Network UnEscal'!W11*'Tamaki Pipe Network  Escal'!X$1</f>
        <v>12268814.419594254</v>
      </c>
      <c r="W9" s="222">
        <f>'Tamaki Pipe Network UnEscal'!X11*'Tamaki Pipe Network  Escal'!Y$1</f>
        <v>13103948.481580611</v>
      </c>
      <c r="X9" s="222">
        <f>'Tamaki Pipe Network UnEscal'!Y11*'Tamaki Pipe Network  Escal'!Z$1</f>
        <v>14066989.207298508</v>
      </c>
      <c r="Y9" s="222">
        <f>'Tamaki Pipe Network UnEscal'!Z11*'Tamaki Pipe Network  Escal'!AA$1</f>
        <v>15137575.004656469</v>
      </c>
      <c r="Z9" s="222">
        <f>'Tamaki Pipe Network UnEscal'!AA11*'Tamaki Pipe Network  Escal'!AB$1</f>
        <v>16323321.498633988</v>
      </c>
      <c r="AA9" s="222">
        <f>'Tamaki Pipe Network UnEscal'!AB11*'Tamaki Pipe Network  Escal'!AC$1</f>
        <v>12975296.114307297</v>
      </c>
      <c r="AB9" s="222">
        <f>'Tamaki Pipe Network UnEscal'!AC11*'Tamaki Pipe Network  Escal'!AD$1</f>
        <v>13807995.377563842</v>
      </c>
      <c r="AC9" s="222">
        <f>'Tamaki Pipe Network UnEscal'!AD11*'Tamaki Pipe Network  Escal'!AE$1</f>
        <v>14816409.505209716</v>
      </c>
      <c r="AD9" s="222">
        <f>'Tamaki Pipe Network UnEscal'!AE11*'Tamaki Pipe Network  Escal'!AF$1</f>
        <v>15698088.288346916</v>
      </c>
      <c r="AE9" s="222">
        <f>'Tamaki Pipe Network UnEscal'!AF11*'Tamaki Pipe Network  Escal'!AG$1</f>
        <v>16729058.476808731</v>
      </c>
      <c r="AF9" s="222">
        <f>'Tamaki Pipe Network UnEscal'!AG11*'Tamaki Pipe Network  Escal'!AH$1</f>
        <v>10064252.383730272</v>
      </c>
      <c r="AG9" s="222">
        <f>'Tamaki Pipe Network UnEscal'!AH11*'Tamaki Pipe Network  Escal'!AI$1</f>
        <v>10491964.403249992</v>
      </c>
      <c r="AH9" s="222">
        <f>'Tamaki Pipe Network UnEscal'!AI11*'Tamaki Pipe Network  Escal'!AJ$1</f>
        <v>11135368.690919878</v>
      </c>
      <c r="AI9" s="222">
        <f>'Tamaki Pipe Network UnEscal'!AJ11*'Tamaki Pipe Network  Escal'!AK$1</f>
        <v>11644573.193486087</v>
      </c>
      <c r="AJ9" s="222">
        <f>'Tamaki Pipe Network UnEscal'!AK11*'Tamaki Pipe Network  Escal'!AL$1</f>
        <v>12259193.447607059</v>
      </c>
      <c r="AK9" s="222">
        <f>'Tamaki Pipe Network UnEscal'!AL11*'Tamaki Pipe Network  Escal'!AM$1</f>
        <v>4619855.9141902933</v>
      </c>
      <c r="AL9" s="222">
        <f>'Tamaki Pipe Network UnEscal'!AM11*'Tamaki Pipe Network  Escal'!AN$1</f>
        <v>4897875.3564225566</v>
      </c>
      <c r="AM9" s="222">
        <f>'Tamaki Pipe Network UnEscal'!AN11*'Tamaki Pipe Network  Escal'!AO$1</f>
        <v>5281347.542585033</v>
      </c>
      <c r="AN9" s="222">
        <f>'Tamaki Pipe Network UnEscal'!AO11*'Tamaki Pipe Network  Escal'!AP$1</f>
        <v>5636124.3801386831</v>
      </c>
      <c r="AO9" s="222">
        <f>'Tamaki Pipe Network UnEscal'!AP11*'Tamaki Pipe Network  Escal'!AQ$1</f>
        <v>5958577.5639549224</v>
      </c>
      <c r="AP9" s="222">
        <f>IF($D9="Yes",IF(AND(AP$3&gt;=$E9,AP$3&lt;=$F9),$G9*Growth!AE$31,0),0)</f>
        <v>0</v>
      </c>
      <c r="AQ9" s="222">
        <f>IF($D9="Yes",IF(AND(AQ$3&gt;=$E9,AQ$3&lt;=$F9),$G9*Growth!AF$31,0),0)</f>
        <v>0</v>
      </c>
      <c r="AR9" s="222">
        <f>SUM(N9:AQ9)</f>
        <v>308502405.50824749</v>
      </c>
    </row>
    <row r="10" spans="1:44" ht="72" x14ac:dyDescent="0.3">
      <c r="A10" s="207" t="s">
        <v>269</v>
      </c>
      <c r="B10" s="207" t="s">
        <v>262</v>
      </c>
      <c r="C10" s="221" t="s">
        <v>111</v>
      </c>
      <c r="D10" s="221" t="s">
        <v>107</v>
      </c>
      <c r="E10" s="221">
        <f>$D$1</f>
        <v>2027</v>
      </c>
      <c r="F10" s="221">
        <f>$G$1</f>
        <v>2054</v>
      </c>
      <c r="G10" s="222">
        <f>'Tamaki Scenario Summary'!B13</f>
        <v>102618861.56149124</v>
      </c>
      <c r="H10" s="177">
        <f>'Tamaki Scenario Summary'!E13</f>
        <v>0</v>
      </c>
      <c r="I10" s="222">
        <f>'Tamaki Scenario Summary'!C13</f>
        <v>0</v>
      </c>
      <c r="J10" s="178">
        <v>0.61</v>
      </c>
      <c r="K10" s="178">
        <v>1</v>
      </c>
      <c r="L10" s="177">
        <f>(J10+K10)/2*(1-H10)</f>
        <v>0.80499999999999994</v>
      </c>
      <c r="M10" s="177">
        <f>1-L10-H10</f>
        <v>0.19500000000000006</v>
      </c>
      <c r="N10" s="222">
        <f>'Tamaki Pipe Network UnEscal'!O12*'Tamaki Pipe Network  Escal'!P$1</f>
        <v>0</v>
      </c>
      <c r="O10" s="222">
        <f>'Tamaki Pipe Network UnEscal'!P12*'Tamaki Pipe Network  Escal'!Q$1</f>
        <v>0</v>
      </c>
      <c r="P10" s="222">
        <f>'Tamaki Pipe Network UnEscal'!Q12*'Tamaki Pipe Network  Escal'!R$1</f>
        <v>7923231.468268944</v>
      </c>
      <c r="Q10" s="222">
        <f>'Tamaki Pipe Network UnEscal'!R12*'Tamaki Pipe Network  Escal'!S$1</f>
        <v>5402554.5603616107</v>
      </c>
      <c r="R10" s="222">
        <f>'Tamaki Pipe Network UnEscal'!S12*'Tamaki Pipe Network  Escal'!T$1</f>
        <v>5923493.2239434374</v>
      </c>
      <c r="S10" s="222">
        <f>'Tamaki Pipe Network UnEscal'!T12*'Tamaki Pipe Network  Escal'!U$1</f>
        <v>6484104.3233848009</v>
      </c>
      <c r="T10" s="222">
        <f>'Tamaki Pipe Network UnEscal'!U12*'Tamaki Pipe Network  Escal'!V$1</f>
        <v>7164470.3318751547</v>
      </c>
      <c r="U10" s="222">
        <f>'Tamaki Pipe Network UnEscal'!V12*'Tamaki Pipe Network  Escal'!W$1</f>
        <v>7854073.273692606</v>
      </c>
      <c r="V10" s="222">
        <f>'Tamaki Pipe Network UnEscal'!W12*'Tamaki Pipe Network  Escal'!X$1</f>
        <v>6128247.5299384333</v>
      </c>
      <c r="W10" s="222">
        <f>'Tamaki Pipe Network UnEscal'!X12*'Tamaki Pipe Network  Escal'!Y$1</f>
        <v>6545395.2735999273</v>
      </c>
      <c r="X10" s="222">
        <f>'Tamaki Pipe Network UnEscal'!Y12*'Tamaki Pipe Network  Escal'!Z$1</f>
        <v>7026432.1323191579</v>
      </c>
      <c r="Y10" s="222">
        <f>'Tamaki Pipe Network UnEscal'!Z12*'Tamaki Pipe Network  Escal'!AA$1</f>
        <v>7561187.5327894716</v>
      </c>
      <c r="Z10" s="222">
        <f>'Tamaki Pipe Network UnEscal'!AA12*'Tamaki Pipe Network  Escal'!AB$1</f>
        <v>8153465.4640006283</v>
      </c>
      <c r="AA10" s="222">
        <f>'Tamaki Pipe Network UnEscal'!AB12*'Tamaki Pipe Network  Escal'!AC$1</f>
        <v>6481133.6811591564</v>
      </c>
      <c r="AB10" s="222">
        <f>'Tamaki Pipe Network UnEscal'!AC12*'Tamaki Pipe Network  Escal'!AD$1</f>
        <v>6897065.2478705738</v>
      </c>
      <c r="AC10" s="222">
        <f>'Tamaki Pipe Network UnEscal'!AD12*'Tamaki Pipe Network  Escal'!AE$1</f>
        <v>7400766.0273877233</v>
      </c>
      <c r="AD10" s="222">
        <f>'Tamaki Pipe Network UnEscal'!AE12*'Tamaki Pipe Network  Escal'!AF$1</f>
        <v>7841162.7633861434</v>
      </c>
      <c r="AE10" s="222">
        <f>'Tamaki Pipe Network UnEscal'!AF12*'Tamaki Pipe Network  Escal'!AG$1</f>
        <v>8356130.2488174057</v>
      </c>
      <c r="AF10" s="222">
        <f>'Tamaki Pipe Network UnEscal'!AG12*'Tamaki Pipe Network  Escal'!AH$1</f>
        <v>5027073.3342229296</v>
      </c>
      <c r="AG10" s="222">
        <f>'Tamaki Pipe Network UnEscal'!AH12*'Tamaki Pipe Network  Escal'!AI$1</f>
        <v>5240714.6069249231</v>
      </c>
      <c r="AH10" s="222">
        <f>'Tamaki Pipe Network UnEscal'!AI12*'Tamaki Pipe Network  Escal'!AJ$1</f>
        <v>5562093.723261348</v>
      </c>
      <c r="AI10" s="222">
        <f>'Tamaki Pipe Network UnEscal'!AJ12*'Tamaki Pipe Network  Escal'!AK$1</f>
        <v>5816440.3233779129</v>
      </c>
      <c r="AJ10" s="222">
        <f>'Tamaki Pipe Network UnEscal'!AK12*'Tamaki Pipe Network  Escal'!AL$1</f>
        <v>6123441.8742491631</v>
      </c>
      <c r="AK10" s="222">
        <f>'Tamaki Pipe Network UnEscal'!AL12*'Tamaki Pipe Network  Escal'!AM$1</f>
        <v>2307608.512652393</v>
      </c>
      <c r="AL10" s="222">
        <f>'Tamaki Pipe Network UnEscal'!AM12*'Tamaki Pipe Network  Escal'!AN$1</f>
        <v>2446478.6513524838</v>
      </c>
      <c r="AM10" s="222">
        <f>'Tamaki Pipe Network UnEscal'!AN12*'Tamaki Pipe Network  Escal'!AO$1</f>
        <v>2638022.218422594</v>
      </c>
      <c r="AN10" s="222">
        <f>'Tamaki Pipe Network UnEscal'!AO12*'Tamaki Pipe Network  Escal'!AP$1</f>
        <v>2815232.5179724204</v>
      </c>
      <c r="AO10" s="222">
        <f>'Tamaki Pipe Network UnEscal'!AP12*'Tamaki Pipe Network  Escal'!AQ$1</f>
        <v>2976297.2190642157</v>
      </c>
      <c r="AP10" s="222">
        <f>IF($D10="Yes",IF(AND(AP$3&gt;=$E10,AP$3&lt;=$F10),$G10*Growth!AE$31,0),0)</f>
        <v>0</v>
      </c>
      <c r="AQ10" s="222">
        <f>IF($D10="Yes",IF(AND(AQ$3&gt;=$E10,AQ$3&lt;=$F10),$G10*Growth!AF$31,0),0)</f>
        <v>0</v>
      </c>
      <c r="AR10" s="222">
        <f t="shared" ref="AR10" si="4">SUM(N10:AQ10)</f>
        <v>154096316.06429553</v>
      </c>
    </row>
    <row r="11" spans="1:44" ht="28.8" x14ac:dyDescent="0.3">
      <c r="A11" s="207" t="s">
        <v>269</v>
      </c>
      <c r="B11" s="207" t="s">
        <v>263</v>
      </c>
      <c r="C11" s="221" t="s">
        <v>112</v>
      </c>
      <c r="D11" s="221" t="s">
        <v>107</v>
      </c>
      <c r="E11" s="221">
        <v>2027</v>
      </c>
      <c r="F11" s="221">
        <v>2054</v>
      </c>
      <c r="G11" s="222">
        <f>$I$7-(G9*H9)</f>
        <v>9853793.314898748</v>
      </c>
      <c r="H11" s="177">
        <v>1</v>
      </c>
      <c r="I11" s="222">
        <f>H11*G11</f>
        <v>9853793.314898748</v>
      </c>
      <c r="J11" s="178">
        <f>J6</f>
        <v>0</v>
      </c>
      <c r="K11" s="178">
        <f>K6</f>
        <v>0</v>
      </c>
      <c r="L11" s="177">
        <v>0</v>
      </c>
      <c r="M11" s="177">
        <f t="shared" ref="M11" si="5">1-L11-H11</f>
        <v>0</v>
      </c>
      <c r="N11" s="222">
        <v>0</v>
      </c>
      <c r="O11" s="222">
        <v>0</v>
      </c>
      <c r="P11" s="222">
        <f>'Tamaki Pipe Network UnEscal'!Q13*'Tamaki Pipe Network  Escal'!R$1</f>
        <v>760814.18256273004</v>
      </c>
      <c r="Q11" s="222">
        <f>'Tamaki Pipe Network UnEscal'!R13*'Tamaki Pipe Network  Escal'!S$1</f>
        <v>518770.67432059889</v>
      </c>
      <c r="R11" s="222">
        <f>'Tamaki Pipe Network UnEscal'!S13*'Tamaki Pipe Network  Escal'!T$1</f>
        <v>568792.88117970503</v>
      </c>
      <c r="S11" s="222">
        <f>'Tamaki Pipe Network UnEscal'!T13*'Tamaki Pipe Network  Escal'!U$1</f>
        <v>622624.56299604592</v>
      </c>
      <c r="T11" s="222">
        <f>'Tamaki Pipe Network UnEscal'!U13*'Tamaki Pipe Network  Escal'!V$1</f>
        <v>687955.49655088095</v>
      </c>
      <c r="U11" s="222">
        <f>'Tamaki Pipe Network UnEscal'!V13*'Tamaki Pipe Network  Escal'!W$1</f>
        <v>754173.39016825927</v>
      </c>
      <c r="V11" s="222">
        <f>'Tamaki Pipe Network UnEscal'!W13*'Tamaki Pipe Network  Escal'!X$1</f>
        <v>588454.04854123562</v>
      </c>
      <c r="W11" s="222">
        <f>'Tamaki Pipe Network UnEscal'!X13*'Tamaki Pipe Network  Escal'!Y$1</f>
        <v>628509.91727014014</v>
      </c>
      <c r="X11" s="222">
        <f>'Tamaki Pipe Network UnEscal'!Y13*'Tamaki Pipe Network  Escal'!Z$1</f>
        <v>674700.62442222773</v>
      </c>
      <c r="Y11" s="222">
        <f>'Tamaki Pipe Network UnEscal'!Z13*'Tamaki Pipe Network  Escal'!AA$1</f>
        <v>726049.55881966173</v>
      </c>
      <c r="Z11" s="222">
        <f>'Tamaki Pipe Network UnEscal'!AA13*'Tamaki Pipe Network  Escal'!AB$1</f>
        <v>782921.99172648566</v>
      </c>
      <c r="AA11" s="222">
        <f>'Tamaki Pipe Network UnEscal'!AB13*'Tamaki Pipe Network  Escal'!AC$1</f>
        <v>622339.31237000518</v>
      </c>
      <c r="AB11" s="222">
        <f>'Tamaki Pipe Network UnEscal'!AC13*'Tamaki Pipe Network  Escal'!AD$1</f>
        <v>662278.39987450291</v>
      </c>
      <c r="AC11" s="222">
        <f>'Tamaki Pipe Network UnEscal'!AD13*'Tamaki Pipe Network  Escal'!AE$1</f>
        <v>710645.36963416263</v>
      </c>
      <c r="AD11" s="222">
        <f>'Tamaki Pipe Network UnEscal'!AE13*'Tamaki Pipe Network  Escal'!AF$1</f>
        <v>752933.68142257689</v>
      </c>
      <c r="AE11" s="222">
        <f>'Tamaki Pipe Network UnEscal'!AF13*'Tamaki Pipe Network  Escal'!AG$1</f>
        <v>802382.51654039905</v>
      </c>
      <c r="AF11" s="222">
        <f>'Tamaki Pipe Network UnEscal'!AG13*'Tamaki Pipe Network  Escal'!AH$1</f>
        <v>482715.75868719682</v>
      </c>
      <c r="AG11" s="222">
        <f>'Tamaki Pipe Network UnEscal'!AH13*'Tamaki Pipe Network  Escal'!AI$1</f>
        <v>503230.28119021544</v>
      </c>
      <c r="AH11" s="222">
        <f>'Tamaki Pipe Network UnEscal'!AI13*'Tamaki Pipe Network  Escal'!AJ$1</f>
        <v>534090.13813967421</v>
      </c>
      <c r="AI11" s="222">
        <f>'Tamaki Pipe Network UnEscal'!AJ13*'Tamaki Pipe Network  Escal'!AK$1</f>
        <v>558513.31717088993</v>
      </c>
      <c r="AJ11" s="222">
        <f>'Tamaki Pipe Network UnEscal'!AK13*'Tamaki Pipe Network  Escal'!AL$1</f>
        <v>587992.59401733929</v>
      </c>
      <c r="AK11" s="222">
        <f>'Tamaki Pipe Network UnEscal'!AL13*'Tamaki Pipe Network  Escal'!AM$1</f>
        <v>221583.99527509979</v>
      </c>
      <c r="AL11" s="222">
        <f>'Tamaki Pipe Network UnEscal'!AM13*'Tamaki Pipe Network  Escal'!AN$1</f>
        <v>234918.75287755131</v>
      </c>
      <c r="AM11" s="222">
        <f>'Tamaki Pipe Network UnEscal'!AN13*'Tamaki Pipe Network  Escal'!AO$1</f>
        <v>253311.38257532212</v>
      </c>
      <c r="AN11" s="222">
        <f>'Tamaki Pipe Network UnEscal'!AO13*'Tamaki Pipe Network  Escal'!AP$1</f>
        <v>270327.68580130296</v>
      </c>
      <c r="AO11" s="222">
        <f>'Tamaki Pipe Network UnEscal'!AP13*'Tamaki Pipe Network  Escal'!AQ$1</f>
        <v>285793.63670676562</v>
      </c>
      <c r="AP11" s="222">
        <v>0</v>
      </c>
      <c r="AQ11" s="222">
        <v>0</v>
      </c>
      <c r="AR11" s="222">
        <f>SUM(N11:AQ11)</f>
        <v>14796824.150840975</v>
      </c>
    </row>
    <row r="12" spans="1:44" ht="28.8" x14ac:dyDescent="0.3">
      <c r="A12" s="208" t="s">
        <v>269</v>
      </c>
      <c r="B12" s="208" t="s">
        <v>81</v>
      </c>
      <c r="C12" s="223" t="s">
        <v>81</v>
      </c>
      <c r="D12" s="223"/>
      <c r="E12" s="223"/>
      <c r="F12" s="223"/>
      <c r="G12" s="224">
        <f>SUM(G9:G11)</f>
        <v>317916668.40510243</v>
      </c>
      <c r="H12" s="225">
        <f>(H9*($G9/$G12))+(H10*($G10/$G12))+(H11*($G11/$G12))</f>
        <v>7.7937131056190809E-2</v>
      </c>
      <c r="I12" s="224">
        <f>SUM(I9:I11)</f>
        <v>24777513.050436024</v>
      </c>
      <c r="J12" s="226"/>
      <c r="K12" s="226"/>
      <c r="L12" s="227">
        <f>(L9*($G9/$G12))+(L10*($G10/$G12))+(L11*($G11/$G12))</f>
        <v>0.59244124429554368</v>
      </c>
      <c r="M12" s="227">
        <f>(M9*($G9/$G12))+(M10*($G10/$G12))+(M11*($G11/$G12))</f>
        <v>0.3296216246482655</v>
      </c>
      <c r="N12" s="224">
        <f>SUM(N9:N10)</f>
        <v>0</v>
      </c>
      <c r="O12" s="224">
        <f t="shared" ref="O12:AQ12" si="6">SUM(O9:O10)</f>
        <v>0</v>
      </c>
      <c r="P12" s="224">
        <f t="shared" si="6"/>
        <v>23785622.145666659</v>
      </c>
      <c r="Q12" s="224">
        <f t="shared" si="6"/>
        <v>16218524.210574996</v>
      </c>
      <c r="R12" s="224">
        <f t="shared" si="6"/>
        <v>17782387.422529474</v>
      </c>
      <c r="S12" s="224">
        <f t="shared" si="6"/>
        <v>19465347.693901215</v>
      </c>
      <c r="T12" s="224">
        <f t="shared" si="6"/>
        <v>21507813.430705268</v>
      </c>
      <c r="U12" s="224">
        <f t="shared" si="6"/>
        <v>23578008.536111381</v>
      </c>
      <c r="V12" s="224">
        <f t="shared" si="6"/>
        <v>18397061.949532688</v>
      </c>
      <c r="W12" s="224">
        <f t="shared" si="6"/>
        <v>19649343.755180538</v>
      </c>
      <c r="X12" s="224">
        <f t="shared" si="6"/>
        <v>21093421.339617666</v>
      </c>
      <c r="Y12" s="224">
        <f t="shared" si="6"/>
        <v>22698762.53744594</v>
      </c>
      <c r="Z12" s="224">
        <f t="shared" si="6"/>
        <v>24476786.962634616</v>
      </c>
      <c r="AA12" s="224">
        <f t="shared" si="6"/>
        <v>19456429.795466453</v>
      </c>
      <c r="AB12" s="224">
        <f t="shared" si="6"/>
        <v>20705060.625434414</v>
      </c>
      <c r="AC12" s="224">
        <f t="shared" si="6"/>
        <v>22217175.532597438</v>
      </c>
      <c r="AD12" s="224">
        <f t="shared" si="6"/>
        <v>23539251.051733062</v>
      </c>
      <c r="AE12" s="224">
        <f t="shared" si="6"/>
        <v>25085188.725626137</v>
      </c>
      <c r="AF12" s="224">
        <f t="shared" si="6"/>
        <v>15091325.717953201</v>
      </c>
      <c r="AG12" s="224">
        <f t="shared" si="6"/>
        <v>15732679.010174915</v>
      </c>
      <c r="AH12" s="224">
        <f t="shared" si="6"/>
        <v>16697462.414181225</v>
      </c>
      <c r="AI12" s="224">
        <f t="shared" si="6"/>
        <v>17461013.516864002</v>
      </c>
      <c r="AJ12" s="224">
        <f t="shared" si="6"/>
        <v>18382635.321856223</v>
      </c>
      <c r="AK12" s="224">
        <f t="shared" si="6"/>
        <v>6927464.4268426858</v>
      </c>
      <c r="AL12" s="224">
        <f t="shared" si="6"/>
        <v>7344354.0077750403</v>
      </c>
      <c r="AM12" s="224">
        <f t="shared" si="6"/>
        <v>7919369.7610076275</v>
      </c>
      <c r="AN12" s="224">
        <f t="shared" si="6"/>
        <v>8451356.8981111031</v>
      </c>
      <c r="AO12" s="224">
        <f t="shared" si="6"/>
        <v>8934874.7830191385</v>
      </c>
      <c r="AP12" s="224">
        <f t="shared" si="6"/>
        <v>0</v>
      </c>
      <c r="AQ12" s="224">
        <f t="shared" si="6"/>
        <v>0</v>
      </c>
      <c r="AR12" s="224">
        <f>SUM(AR9:AR11)</f>
        <v>477395545.72338402</v>
      </c>
    </row>
    <row r="13" spans="1:44" x14ac:dyDescent="0.3">
      <c r="A13" s="230"/>
      <c r="B13" s="228"/>
      <c r="L13" s="229"/>
      <c r="M13" s="229"/>
    </row>
    <row r="14" spans="1:44" x14ac:dyDescent="0.3">
      <c r="A14" s="231"/>
      <c r="B14" s="228"/>
      <c r="L14" s="229"/>
      <c r="M14" s="229"/>
      <c r="AR14" s="164"/>
    </row>
    <row r="15" spans="1:44" x14ac:dyDescent="0.3">
      <c r="B15" s="228"/>
      <c r="L15" s="229"/>
      <c r="M15" s="229"/>
      <c r="AR15" s="232"/>
    </row>
    <row r="16" spans="1:44" ht="57.6" x14ac:dyDescent="0.3">
      <c r="A16" s="207" t="s">
        <v>270</v>
      </c>
      <c r="B16" s="207" t="s">
        <v>264</v>
      </c>
      <c r="C16" s="221" t="s">
        <v>109</v>
      </c>
      <c r="D16" s="221" t="s">
        <v>107</v>
      </c>
      <c r="E16" s="221">
        <f>$D$1</f>
        <v>2027</v>
      </c>
      <c r="F16" s="221">
        <f>$G$1</f>
        <v>2054</v>
      </c>
      <c r="G16" s="222">
        <f>'Tamaki Scenario Summary'!B19</f>
        <v>336007606.18259645</v>
      </c>
      <c r="H16" s="177">
        <f>'Tamaki Scenario Summary'!E19</f>
        <v>5.9594491396580435E-2</v>
      </c>
      <c r="I16" s="222">
        <f>'Tamaki Scenario Summary'!C19</f>
        <v>20024202.39583433</v>
      </c>
      <c r="J16" s="178">
        <v>0.61</v>
      </c>
      <c r="K16" s="178">
        <v>0.5</v>
      </c>
      <c r="L16" s="177">
        <f>(J16+K16)/2*(1-H16)</f>
        <v>0.5219250572748978</v>
      </c>
      <c r="M16" s="177">
        <f>1-L16-H16</f>
        <v>0.41848045132852174</v>
      </c>
      <c r="N16" s="222">
        <f>'Tamaki Pipe Network UnEscal'!O18*'Tamaki Pipe Network  Escal'!P$1</f>
        <v>0</v>
      </c>
      <c r="O16" s="222">
        <f>'Tamaki Pipe Network UnEscal'!P18*'Tamaki Pipe Network  Escal'!Q$1</f>
        <v>0</v>
      </c>
      <c r="P16" s="222">
        <f>'Tamaki Pipe Network UnEscal'!Q18*'Tamaki Pipe Network  Escal'!R$1</f>
        <v>25943242.775972378</v>
      </c>
      <c r="Q16" s="222">
        <f>'Tamaki Pipe Network UnEscal'!R18*'Tamaki Pipe Network  Escal'!S$1</f>
        <v>17689724.846637592</v>
      </c>
      <c r="R16" s="222">
        <f>'Tamaki Pipe Network UnEscal'!S18*'Tamaki Pipe Network  Escal'!T$1</f>
        <v>19395447.855591487</v>
      </c>
      <c r="S16" s="222">
        <f>'Tamaki Pipe Network UnEscal'!T18*'Tamaki Pipe Network  Escal'!U$1</f>
        <v>21231071.352640431</v>
      </c>
      <c r="T16" s="222">
        <f>'Tamaki Pipe Network UnEscal'!U18*'Tamaki Pipe Network  Escal'!V$1</f>
        <v>23458811.461644329</v>
      </c>
      <c r="U16" s="222">
        <f>'Tamaki Pipe Network UnEscal'!V18*'Tamaki Pipe Network  Escal'!W$1</f>
        <v>25716796.301572721</v>
      </c>
      <c r="V16" s="222">
        <f>'Tamaki Pipe Network UnEscal'!W18*'Tamaki Pipe Network  Escal'!X$1</f>
        <v>20065880.20268717</v>
      </c>
      <c r="W16" s="222">
        <f>'Tamaki Pipe Network UnEscal'!X18*'Tamaki Pipe Network  Escal'!Y$1</f>
        <v>21431757.904304244</v>
      </c>
      <c r="X16" s="222">
        <f>'Tamaki Pipe Network UnEscal'!Y18*'Tamaki Pipe Network  Escal'!Z$1</f>
        <v>23006829.396273497</v>
      </c>
      <c r="Y16" s="222">
        <f>'Tamaki Pipe Network UnEscal'!Z18*'Tamaki Pipe Network  Escal'!AA$1</f>
        <v>24757792.906013638</v>
      </c>
      <c r="Z16" s="222">
        <f>'Tamaki Pipe Network UnEscal'!AA18*'Tamaki Pipe Network  Escal'!AB$1</f>
        <v>26697103.933565728</v>
      </c>
      <c r="AA16" s="222">
        <f>'Tamaki Pipe Network UnEscal'!AB18*'Tamaki Pipe Network  Escal'!AC$1</f>
        <v>21221344.501573533</v>
      </c>
      <c r="AB16" s="222">
        <f>'Tamaki Pipe Network UnEscal'!AC18*'Tamaki Pipe Network  Escal'!AD$1</f>
        <v>22583240.043386143</v>
      </c>
      <c r="AC16" s="222">
        <f>'Tamaki Pipe Network UnEscal'!AD18*'Tamaki Pipe Network  Escal'!AE$1</f>
        <v>24232520.600415599</v>
      </c>
      <c r="AD16" s="222">
        <f>'Tamaki Pipe Network UnEscal'!AE18*'Tamaki Pipe Network  Escal'!AF$1</f>
        <v>25674523.082043089</v>
      </c>
      <c r="AE16" s="222">
        <f>'Tamaki Pipe Network UnEscal'!AF18*'Tamaki Pipe Network  Escal'!AG$1</f>
        <v>27360694.507146504</v>
      </c>
      <c r="AF16" s="222">
        <f>'Tamaki Pipe Network UnEscal'!AG18*'Tamaki Pipe Network  Escal'!AH$1</f>
        <v>16460276.906545561</v>
      </c>
      <c r="AG16" s="222">
        <f>'Tamaki Pipe Network UnEscal'!AH18*'Tamaki Pipe Network  Escal'!AI$1</f>
        <v>17159808.079763509</v>
      </c>
      <c r="AH16" s="222">
        <f>'Tamaki Pipe Network UnEscal'!AI18*'Tamaki Pipe Network  Escal'!AJ$1</f>
        <v>18212108.075243123</v>
      </c>
      <c r="AI16" s="222">
        <f>'Tamaki Pipe Network UnEscal'!AJ18*'Tamaki Pipe Network  Escal'!AK$1</f>
        <v>19044921.760226738</v>
      </c>
      <c r="AJ16" s="222">
        <f>'Tamaki Pipe Network UnEscal'!AK18*'Tamaki Pipe Network  Escal'!AL$1</f>
        <v>20050144.919331666</v>
      </c>
      <c r="AK16" s="222">
        <f>'Tamaki Pipe Network UnEscal'!AL18*'Tamaki Pipe Network  Escal'!AM$1</f>
        <v>7555862.5436347593</v>
      </c>
      <c r="AL16" s="222">
        <f>'Tamaki Pipe Network UnEscal'!AM18*'Tamaki Pipe Network  Escal'!AN$1</f>
        <v>8010568.6489729304</v>
      </c>
      <c r="AM16" s="222">
        <f>'Tamaki Pipe Network UnEscal'!AN18*'Tamaki Pipe Network  Escal'!AO$1</f>
        <v>8637744.730168663</v>
      </c>
      <c r="AN16" s="222">
        <f>'Tamaki Pipe Network UnEscal'!AO18*'Tamaki Pipe Network  Escal'!AP$1</f>
        <v>9217989.0209022723</v>
      </c>
      <c r="AO16" s="222">
        <f>'Tamaki Pipe Network UnEscal'!AP18*'Tamaki Pipe Network  Escal'!AQ$1</f>
        <v>9745367.3588693161</v>
      </c>
      <c r="AP16" s="222">
        <f>IF($D16="Yes",IF(AND(AP$3&gt;=$E16,AP$3&lt;=$F16),$G16*Growth!AE$31,0),0)</f>
        <v>0</v>
      </c>
      <c r="AQ16" s="222">
        <f>IF($D16="Yes",IF(AND(AQ$3&gt;=$E16,AQ$3&lt;=$F16),$G16*Growth!AF$31,0),0)</f>
        <v>0</v>
      </c>
      <c r="AR16" s="222">
        <f>SUM(N16:AQ16)</f>
        <v>504561573.71512663</v>
      </c>
    </row>
    <row r="17" spans="1:44" ht="57.6" x14ac:dyDescent="0.3">
      <c r="A17" s="207" t="s">
        <v>270</v>
      </c>
      <c r="B17" s="207" t="s">
        <v>265</v>
      </c>
      <c r="C17" s="221" t="s">
        <v>111</v>
      </c>
      <c r="D17" s="221" t="s">
        <v>107</v>
      </c>
      <c r="E17" s="221">
        <f>$D$1</f>
        <v>2027</v>
      </c>
      <c r="F17" s="221">
        <f>$G$1</f>
        <v>2054</v>
      </c>
      <c r="G17" s="222">
        <f>'Tamaki Scenario Summary'!B20</f>
        <v>103201807</v>
      </c>
      <c r="H17" s="177">
        <f>'Tamaki Scenario Summary'!E20</f>
        <v>0</v>
      </c>
      <c r="I17" s="222">
        <f>'Tamaki Scenario Summary'!C20</f>
        <v>0</v>
      </c>
      <c r="J17" s="178">
        <v>0.61</v>
      </c>
      <c r="K17" s="178">
        <v>1</v>
      </c>
      <c r="L17" s="177">
        <f>(J17+K17)/2*(1-H17)</f>
        <v>0.80499999999999994</v>
      </c>
      <c r="M17" s="177">
        <f>1-L17-H17</f>
        <v>0.19500000000000006</v>
      </c>
      <c r="N17" s="222">
        <f>'Tamaki Pipe Network UnEscal'!O19*'Tamaki Pipe Network  Escal'!P$1</f>
        <v>0</v>
      </c>
      <c r="O17" s="222">
        <f>'Tamaki Pipe Network UnEscal'!P19*'Tamaki Pipe Network  Escal'!Q$1</f>
        <v>0</v>
      </c>
      <c r="P17" s="222">
        <f>'Tamaki Pipe Network UnEscal'!Q19*'Tamaki Pipe Network  Escal'!R$1</f>
        <v>7968240.8512653513</v>
      </c>
      <c r="Q17" s="222">
        <f>'Tamaki Pipe Network UnEscal'!R19*'Tamaki Pipe Network  Escal'!S$1</f>
        <v>5433244.7715892065</v>
      </c>
      <c r="R17" s="222">
        <f>'Tamaki Pipe Network UnEscal'!S19*'Tamaki Pipe Network  Escal'!T$1</f>
        <v>5957142.7236785926</v>
      </c>
      <c r="S17" s="222">
        <f>'Tamaki Pipe Network UnEscal'!T19*'Tamaki Pipe Network  Escal'!U$1</f>
        <v>6520938.4782430399</v>
      </c>
      <c r="T17" s="222">
        <f>'Tamaki Pipe Network UnEscal'!U19*'Tamaki Pipe Network  Escal'!V$1</f>
        <v>7205169.4317847304</v>
      </c>
      <c r="U17" s="222">
        <f>'Tamaki Pipe Network UnEscal'!V19*'Tamaki Pipe Network  Escal'!W$1</f>
        <v>7898689.7907630978</v>
      </c>
      <c r="V17" s="222">
        <f>'Tamaki Pipe Network UnEscal'!W19*'Tamaki Pipe Network  Escal'!X$1</f>
        <v>6163060.174410128</v>
      </c>
      <c r="W17" s="222">
        <f>'Tamaki Pipe Network UnEscal'!X19*'Tamaki Pipe Network  Escal'!Y$1</f>
        <v>6582577.6030462105</v>
      </c>
      <c r="X17" s="222">
        <f>'Tamaki Pipe Network UnEscal'!Y19*'Tamaki Pipe Network  Escal'!Z$1</f>
        <v>7066347.0806844002</v>
      </c>
      <c r="Y17" s="222">
        <f>'Tamaki Pipe Network UnEscal'!Z19*'Tamaki Pipe Network  Escal'!AA$1</f>
        <v>7604140.258193736</v>
      </c>
      <c r="Z17" s="222">
        <f>'Tamaki Pipe Network UnEscal'!AA19*'Tamaki Pipe Network  Escal'!AB$1</f>
        <v>8199782.7338275779</v>
      </c>
      <c r="AA17" s="222">
        <f>'Tamaki Pipe Network UnEscal'!AB19*'Tamaki Pipe Network  Escal'!AC$1</f>
        <v>6517950.9607343478</v>
      </c>
      <c r="AB17" s="222">
        <f>'Tamaki Pipe Network UnEscal'!AC19*'Tamaki Pipe Network  Escal'!AD$1</f>
        <v>6936245.3037020676</v>
      </c>
      <c r="AC17" s="222">
        <f>'Tamaki Pipe Network UnEscal'!AD19*'Tamaki Pipe Network  Escal'!AE$1</f>
        <v>7442807.4487355044</v>
      </c>
      <c r="AD17" s="222">
        <f>'Tamaki Pipe Network UnEscal'!AE19*'Tamaki Pipe Network  Escal'!AF$1</f>
        <v>7885705.9399130205</v>
      </c>
      <c r="AE17" s="222">
        <f>'Tamaki Pipe Network UnEscal'!AF19*'Tamaki Pipe Network  Escal'!AG$1</f>
        <v>8403598.7934690565</v>
      </c>
      <c r="AF17" s="222">
        <f>'Tamaki Pipe Network UnEscal'!AG19*'Tamaki Pipe Network  Escal'!AH$1</f>
        <v>5055630.5548414635</v>
      </c>
      <c r="AG17" s="222">
        <f>'Tamaki Pipe Network UnEscal'!AH19*'Tamaki Pipe Network  Escal'!AI$1</f>
        <v>5270485.4563394096</v>
      </c>
      <c r="AH17" s="222">
        <f>'Tamaki Pipe Network UnEscal'!AI19*'Tamaki Pipe Network  Escal'!AJ$1</f>
        <v>5593690.2262355164</v>
      </c>
      <c r="AI17" s="222">
        <f>'Tamaki Pipe Network UnEscal'!AJ19*'Tamaki Pipe Network  Escal'!AK$1</f>
        <v>5849481.6892952286</v>
      </c>
      <c r="AJ17" s="222">
        <f>'Tamaki Pipe Network UnEscal'!AK19*'Tamaki Pipe Network  Escal'!AL$1</f>
        <v>6158227.2193041565</v>
      </c>
      <c r="AK17" s="222">
        <f>'Tamaki Pipe Network UnEscal'!AL19*'Tamaki Pipe Network  Escal'!AM$1</f>
        <v>2320717.3099616342</v>
      </c>
      <c r="AL17" s="222">
        <f>'Tamaki Pipe Network UnEscal'!AM19*'Tamaki Pipe Network  Escal'!AN$1</f>
        <v>2460376.3261903636</v>
      </c>
      <c r="AM17" s="222">
        <f>'Tamaki Pipe Network UnEscal'!AN19*'Tamaki Pipe Network  Escal'!AO$1</f>
        <v>2653007.9919491569</v>
      </c>
      <c r="AN17" s="222">
        <f>'Tamaki Pipe Network UnEscal'!AO19*'Tamaki Pipe Network  Escal'!AP$1</f>
        <v>2831224.9674083376</v>
      </c>
      <c r="AO17" s="222">
        <f>'Tamaki Pipe Network UnEscal'!AP19*'Tamaki Pipe Network  Escal'!AQ$1</f>
        <v>2993204.6263487926</v>
      </c>
      <c r="AP17" s="222">
        <f>IF($D17="Yes",IF(AND(AP$3&gt;=$E17,AP$3&lt;=$F17),$G17*Growth!AE$31,0),0)</f>
        <v>0</v>
      </c>
      <c r="AQ17" s="222">
        <f>IF($D17="Yes",IF(AND(AQ$3&gt;=$E17,AQ$3&lt;=$F17),$G17*Growth!AF$31,0),0)</f>
        <v>0</v>
      </c>
      <c r="AR17" s="222">
        <f t="shared" ref="AR17:AR18" si="7">SUM(N17:AQ17)</f>
        <v>154971688.71191412</v>
      </c>
    </row>
    <row r="18" spans="1:44" ht="43.2" x14ac:dyDescent="0.3">
      <c r="A18" s="207" t="s">
        <v>270</v>
      </c>
      <c r="B18" s="207" t="s">
        <v>266</v>
      </c>
      <c r="C18" s="221" t="str">
        <f>C6</f>
        <v>Tamaki Pipe network - Renewal only</v>
      </c>
      <c r="D18" s="221" t="str">
        <f>D6</f>
        <v>Yes</v>
      </c>
      <c r="E18" s="221">
        <f>E6</f>
        <v>2027</v>
      </c>
      <c r="F18" s="221">
        <f>F6</f>
        <v>2054</v>
      </c>
      <c r="G18" s="222">
        <f>$I$7-(G16*H16)</f>
        <v>4753310.6546016932</v>
      </c>
      <c r="H18" s="177">
        <v>1</v>
      </c>
      <c r="I18" s="222">
        <f>H18*G18</f>
        <v>4753310.6546016932</v>
      </c>
      <c r="J18" s="178">
        <f>J6</f>
        <v>0</v>
      </c>
      <c r="K18" s="178">
        <f>K6</f>
        <v>0</v>
      </c>
      <c r="L18" s="177">
        <f>L6</f>
        <v>0</v>
      </c>
      <c r="M18" s="177">
        <f t="shared" ref="M18" si="8">1-L18-H18</f>
        <v>0</v>
      </c>
      <c r="N18" s="222">
        <f>N6</f>
        <v>0</v>
      </c>
      <c r="O18" s="222">
        <f>O6</f>
        <v>0</v>
      </c>
      <c r="P18" s="222">
        <f>'Tamaki Pipe Network UnEscal'!Q20*'Tamaki Pipe Network  Escal'!R$1</f>
        <v>367004.46666357364</v>
      </c>
      <c r="Q18" s="222">
        <f>'Tamaki Pipe Network UnEscal'!R20*'Tamaki Pipe Network  Escal'!S$1</f>
        <v>250246.58978940087</v>
      </c>
      <c r="R18" s="222">
        <f>'Tamaki Pipe Network UnEscal'!S20*'Tamaki Pipe Network  Escal'!T$1</f>
        <v>274376.49400309828</v>
      </c>
      <c r="S18" s="222">
        <f>'Tamaki Pipe Network UnEscal'!T20*'Tamaki Pipe Network  Escal'!U$1</f>
        <v>300344.02737381129</v>
      </c>
      <c r="T18" s="222">
        <f>'Tamaki Pipe Network UnEscal'!U20*'Tamaki Pipe Network  Escal'!V$1</f>
        <v>331858.61395152495</v>
      </c>
      <c r="U18" s="222">
        <f>'Tamaki Pipe Network UnEscal'!V20*'Tamaki Pipe Network  Escal'!W$1</f>
        <v>363801.05572984635</v>
      </c>
      <c r="V18" s="222">
        <f>'Tamaki Pipe Network UnEscal'!W20*'Tamaki Pipe Network  Escal'!X$1</f>
        <v>283860.72340744024</v>
      </c>
      <c r="W18" s="222">
        <f>'Tamaki Pipe Network UnEscal'!X20*'Tamaki Pipe Network  Escal'!Y$1</f>
        <v>303183.02716639475</v>
      </c>
      <c r="X18" s="222">
        <f>'Tamaki Pipe Network UnEscal'!Y20*'Tamaki Pipe Network  Escal'!Z$1</f>
        <v>325464.67783970805</v>
      </c>
      <c r="Y18" s="222">
        <f>'Tamaki Pipe Network UnEscal'!Z20*'Tamaki Pipe Network  Escal'!AA$1</f>
        <v>350234.5739775463</v>
      </c>
      <c r="Z18" s="222">
        <f>'Tamaki Pipe Network UnEscal'!AA20*'Tamaki Pipe Network  Escal'!AB$1</f>
        <v>377668.91653478146</v>
      </c>
      <c r="AA18" s="222">
        <f>'Tamaki Pipe Network UnEscal'!AB20*'Tamaki Pipe Network  Escal'!AC$1</f>
        <v>300206.4270815521</v>
      </c>
      <c r="AB18" s="222">
        <f>'Tamaki Pipe Network UnEscal'!AC20*'Tamaki Pipe Network  Escal'!AD$1</f>
        <v>319472.39746507531</v>
      </c>
      <c r="AC18" s="222">
        <f>'Tamaki Pipe Network UnEscal'!AD20*'Tamaki Pipe Network  Escal'!AE$1</f>
        <v>342803.84205116989</v>
      </c>
      <c r="AD18" s="222">
        <f>'Tamaki Pipe Network UnEscal'!AE20*'Tamaki Pipe Network  Escal'!AF$1</f>
        <v>363203.0402650258</v>
      </c>
      <c r="AE18" s="222">
        <f>'Tamaki Pipe Network UnEscal'!AF20*'Tamaki Pipe Network  Escal'!AG$1</f>
        <v>387056.35921660176</v>
      </c>
      <c r="AF18" s="222">
        <f>'Tamaki Pipe Network UnEscal'!AG20*'Tamaki Pipe Network  Escal'!AH$1</f>
        <v>232854.28114701321</v>
      </c>
      <c r="AG18" s="222">
        <f>'Tamaki Pipe Network UnEscal'!AH20*'Tamaki Pipe Network  Escal'!AI$1</f>
        <v>242750.15528111227</v>
      </c>
      <c r="AH18" s="222">
        <f>'Tamaki Pipe Network UnEscal'!AI20*'Tamaki Pipe Network  Escal'!AJ$1</f>
        <v>257636.45156820401</v>
      </c>
      <c r="AI18" s="222">
        <f>'Tamaki Pipe Network UnEscal'!AJ20*'Tamaki Pipe Network  Escal'!AK$1</f>
        <v>269417.79844634427</v>
      </c>
      <c r="AJ18" s="222">
        <f>'Tamaki Pipe Network UnEscal'!AK20*'Tamaki Pipe Network  Escal'!AL$1</f>
        <v>283638.12520236784</v>
      </c>
      <c r="AK18" s="222">
        <f>'Tamaki Pipe Network UnEscal'!AL20*'Tamaki Pipe Network  Escal'!AM$1</f>
        <v>106888.53845126198</v>
      </c>
      <c r="AL18" s="222">
        <f>'Tamaki Pipe Network UnEscal'!AM20*'Tamaki Pipe Network  Escal'!AN$1</f>
        <v>113321.01002466386</v>
      </c>
      <c r="AM18" s="222">
        <f>'Tamaki Pipe Network UnEscal'!AN20*'Tamaki Pipe Network  Escal'!AO$1</f>
        <v>122193.31735998935</v>
      </c>
      <c r="AN18" s="222">
        <f>'Tamaki Pipe Network UnEscal'!AO20*'Tamaki Pipe Network  Escal'!AP$1</f>
        <v>130401.70704720687</v>
      </c>
      <c r="AO18" s="222">
        <f>'Tamaki Pipe Network UnEscal'!AP20*'Tamaki Pipe Network  Escal'!AQ$1</f>
        <v>137862.23182920428</v>
      </c>
      <c r="AP18" s="222">
        <f>AP6</f>
        <v>0</v>
      </c>
      <c r="AQ18" s="222">
        <f>AQ6</f>
        <v>0</v>
      </c>
      <c r="AR18" s="222">
        <f t="shared" si="7"/>
        <v>7137748.8488739198</v>
      </c>
    </row>
    <row r="19" spans="1:44" ht="43.2" x14ac:dyDescent="0.3">
      <c r="A19" s="208" t="s">
        <v>270</v>
      </c>
      <c r="B19" s="208" t="s">
        <v>81</v>
      </c>
      <c r="C19" s="223" t="s">
        <v>81</v>
      </c>
      <c r="D19" s="223"/>
      <c r="E19" s="223"/>
      <c r="F19" s="223"/>
      <c r="G19" s="224">
        <f>SUM(G16:G18)</f>
        <v>443962723.83719814</v>
      </c>
      <c r="H19" s="225">
        <f>(H16*($G16/$G19))+(H17*($G17/$G19))+(H18*($G18/$G19))</f>
        <v>5.5809895110748034E-2</v>
      </c>
      <c r="I19" s="224">
        <f>SUM(I16:I18)</f>
        <v>24777513.050436024</v>
      </c>
      <c r="J19" s="226"/>
      <c r="K19" s="226"/>
      <c r="L19" s="227">
        <f>(L16*($G16/$G19))+(L17*($G17/$G19))+(L18*($G18/$G19))</f>
        <v>0.5821395127565403</v>
      </c>
      <c r="M19" s="227">
        <f>(M16*($G16/$G19))+(M17*($G17/$G19))+(M18*($G18/$G19))</f>
        <v>0.36205059213271173</v>
      </c>
      <c r="N19" s="224">
        <f>SUM(N16:N17)</f>
        <v>0</v>
      </c>
      <c r="O19" s="224">
        <f t="shared" ref="O19:AQ19" si="9">SUM(O16:O17)</f>
        <v>0</v>
      </c>
      <c r="P19" s="224">
        <f t="shared" si="9"/>
        <v>33911483.62723773</v>
      </c>
      <c r="Q19" s="224">
        <f t="shared" si="9"/>
        <v>23122969.618226796</v>
      </c>
      <c r="R19" s="224">
        <f t="shared" si="9"/>
        <v>25352590.57927008</v>
      </c>
      <c r="S19" s="224">
        <f t="shared" si="9"/>
        <v>27752009.830883473</v>
      </c>
      <c r="T19" s="224">
        <f t="shared" si="9"/>
        <v>30663980.89342906</v>
      </c>
      <c r="U19" s="224">
        <f t="shared" si="9"/>
        <v>33615486.09233582</v>
      </c>
      <c r="V19" s="224">
        <f t="shared" si="9"/>
        <v>26228940.377097297</v>
      </c>
      <c r="W19" s="224">
        <f t="shared" si="9"/>
        <v>28014335.507350452</v>
      </c>
      <c r="X19" s="224">
        <f t="shared" si="9"/>
        <v>30073176.476957899</v>
      </c>
      <c r="Y19" s="224">
        <f t="shared" si="9"/>
        <v>32361933.164207373</v>
      </c>
      <c r="Z19" s="224">
        <f t="shared" si="9"/>
        <v>34896886.667393304</v>
      </c>
      <c r="AA19" s="224">
        <f t="shared" si="9"/>
        <v>27739295.462307882</v>
      </c>
      <c r="AB19" s="224">
        <f t="shared" si="9"/>
        <v>29519485.34708821</v>
      </c>
      <c r="AC19" s="224">
        <f t="shared" si="9"/>
        <v>31675328.049151104</v>
      </c>
      <c r="AD19" s="224">
        <f t="shared" si="9"/>
        <v>33560229.021956109</v>
      </c>
      <c r="AE19" s="224">
        <f t="shared" si="9"/>
        <v>35764293.300615564</v>
      </c>
      <c r="AF19" s="224">
        <f t="shared" si="9"/>
        <v>21515907.461387023</v>
      </c>
      <c r="AG19" s="224">
        <f t="shared" si="9"/>
        <v>22430293.536102921</v>
      </c>
      <c r="AH19" s="224">
        <f t="shared" si="9"/>
        <v>23805798.301478639</v>
      </c>
      <c r="AI19" s="224">
        <f t="shared" si="9"/>
        <v>24894403.449521966</v>
      </c>
      <c r="AJ19" s="224">
        <f t="shared" si="9"/>
        <v>26208372.138635822</v>
      </c>
      <c r="AK19" s="224">
        <f t="shared" si="9"/>
        <v>9876579.853596393</v>
      </c>
      <c r="AL19" s="224">
        <f t="shared" si="9"/>
        <v>10470944.975163294</v>
      </c>
      <c r="AM19" s="224">
        <f t="shared" si="9"/>
        <v>11290752.722117819</v>
      </c>
      <c r="AN19" s="224">
        <f t="shared" si="9"/>
        <v>12049213.988310609</v>
      </c>
      <c r="AO19" s="224">
        <f t="shared" si="9"/>
        <v>12738571.985218108</v>
      </c>
      <c r="AP19" s="224">
        <f t="shared" si="9"/>
        <v>0</v>
      </c>
      <c r="AQ19" s="224">
        <f t="shared" si="9"/>
        <v>0</v>
      </c>
      <c r="AR19" s="224">
        <f>SUM(AR16:AR18)</f>
        <v>666671011.27591479</v>
      </c>
    </row>
    <row r="20" spans="1:44" x14ac:dyDescent="0.3">
      <c r="A20" s="230"/>
      <c r="B20" s="228"/>
      <c r="L20" s="229"/>
      <c r="M20" s="229"/>
    </row>
    <row r="21" spans="1:44" x14ac:dyDescent="0.3">
      <c r="A21" s="204" t="s">
        <v>275</v>
      </c>
      <c r="B21" s="208" t="s">
        <v>266</v>
      </c>
      <c r="C21" s="221" t="s">
        <v>48</v>
      </c>
      <c r="D21" s="221"/>
      <c r="E21" s="221">
        <f>E9</f>
        <v>2027</v>
      </c>
      <c r="F21" s="221">
        <f>F9</f>
        <v>2054</v>
      </c>
      <c r="G21" s="222">
        <f>$I$7-(G19*H19)</f>
        <v>0</v>
      </c>
      <c r="H21" s="177">
        <v>1</v>
      </c>
      <c r="I21" s="222">
        <f>H21*G21</f>
        <v>0</v>
      </c>
      <c r="J21" s="178">
        <v>0</v>
      </c>
      <c r="K21" s="178">
        <v>0</v>
      </c>
      <c r="L21" s="177">
        <v>0</v>
      </c>
      <c r="M21" s="177">
        <v>0</v>
      </c>
      <c r="N21" s="222">
        <v>0</v>
      </c>
      <c r="O21" s="222">
        <v>0</v>
      </c>
      <c r="P21" s="222">
        <f>'Tamaki Pipe Network UnEscal'!Q24*'Tamaki Pipe Network  Escal'!R$1</f>
        <v>1913078.8250756571</v>
      </c>
      <c r="Q21" s="222">
        <f>'Tamaki Pipe Network UnEscal'!R24*'Tamaki Pipe Network  Escal'!S$1</f>
        <v>1304456.7449702199</v>
      </c>
      <c r="R21" s="222">
        <f>'Tamaki Pipe Network UnEscal'!S24*'Tamaki Pipe Network  Escal'!T$1</f>
        <v>1430238.3443659698</v>
      </c>
      <c r="S21" s="222">
        <f>'Tamaki Pipe Network UnEscal'!T24*'Tamaki Pipe Network  Escal'!U$1</f>
        <v>1565598.926438927</v>
      </c>
      <c r="T21" s="222">
        <f>'Tamaki Pipe Network UnEscal'!U24*'Tamaki Pipe Network  Escal'!V$1</f>
        <v>1729874.5517764902</v>
      </c>
      <c r="U21" s="222">
        <f>'Tamaki Pipe Network UnEscal'!V24*'Tamaki Pipe Network  Escal'!W$1</f>
        <v>1896380.4516715338</v>
      </c>
      <c r="V21" s="222">
        <f>'Tamaki Pipe Network UnEscal'!W24*'Tamaki Pipe Network  Escal'!X$1</f>
        <v>1479676.6485112945</v>
      </c>
      <c r="W21" s="222">
        <f>'Tamaki Pipe Network UnEscal'!X24*'Tamaki Pipe Network  Escal'!Y$1</f>
        <v>1580397.7392080489</v>
      </c>
      <c r="X21" s="222">
        <f>'Tamaki Pipe Network UnEscal'!Y24*'Tamaki Pipe Network  Escal'!Z$1</f>
        <v>1696544.974358523</v>
      </c>
      <c r="Y21" s="222">
        <f>'Tamaki Pipe Network UnEscal'!Z24*'Tamaki Pipe Network  Escal'!AA$1</f>
        <v>1825662.6503132961</v>
      </c>
      <c r="Z21" s="222">
        <f>'Tamaki Pipe Network UnEscal'!AA24*'Tamaki Pipe Network  Escal'!AB$1</f>
        <v>1968669.2472172778</v>
      </c>
      <c r="AA21" s="222">
        <f>'Tamaki Pipe Network UnEscal'!AB24*'Tamaki Pipe Network  Escal'!AC$1</f>
        <v>1564881.6594044454</v>
      </c>
      <c r="AB21" s="222">
        <f>'Tamaki Pipe Network UnEscal'!AC24*'Tamaki Pipe Network  Escal'!AD$1</f>
        <v>1665309.1019375615</v>
      </c>
      <c r="AC21" s="222">
        <f>'Tamaki Pipe Network UnEscal'!AD24*'Tamaki Pipe Network  Escal'!AE$1</f>
        <v>1786928.5824900954</v>
      </c>
      <c r="AD21" s="222">
        <f>'Tamaki Pipe Network UnEscal'!AE24*'Tamaki Pipe Network  Escal'!AF$1</f>
        <v>1893263.1851891486</v>
      </c>
      <c r="AE21" s="222">
        <f>'Tamaki Pipe Network UnEscal'!AF24*'Tamaki Pipe Network  Escal'!AG$1</f>
        <v>2017603.0326272098</v>
      </c>
      <c r="AF21" s="222">
        <f>'Tamaki Pipe Network UnEscal'!AG24*'Tamaki Pipe Network  Escal'!AH$1</f>
        <v>1213796.1116394741</v>
      </c>
      <c r="AG21" s="222">
        <f>'Tamaki Pipe Network UnEscal'!AH24*'Tamaki Pipe Network  Escal'!AI$1</f>
        <v>1265380.1902575502</v>
      </c>
      <c r="AH21" s="222">
        <f>'Tamaki Pipe Network UnEscal'!AI24*'Tamaki Pipe Network  Escal'!AJ$1</f>
        <v>1342977.7695718731</v>
      </c>
      <c r="AI21" s="222">
        <f>'Tamaki Pipe Network UnEscal'!AJ24*'Tamaki Pipe Network  Escal'!AK$1</f>
        <v>1404390.2244347241</v>
      </c>
      <c r="AJ21" s="222">
        <f>'Tamaki Pipe Network UnEscal'!AK24*'Tamaki Pipe Network  Escal'!AL$1</f>
        <v>1478516.3140976697</v>
      </c>
      <c r="AK21" s="222">
        <f>'Tamaki Pipe Network UnEscal'!AL24*'Tamaki Pipe Network  Escal'!AM$1</f>
        <v>557176.32380164799</v>
      </c>
      <c r="AL21" s="222">
        <f>'Tamaki Pipe Network UnEscal'!AM24*'Tamaki Pipe Network  Escal'!AN$1</f>
        <v>590706.77445759811</v>
      </c>
      <c r="AM21" s="222">
        <f>'Tamaki Pipe Network UnEscal'!AN24*'Tamaki Pipe Network  Escal'!AO$1</f>
        <v>636955.32136788371</v>
      </c>
      <c r="AN21" s="222">
        <f>'Tamaki Pipe Network UnEscal'!AO24*'Tamaki Pipe Network  Escal'!AP$1</f>
        <v>679743.07444714021</v>
      </c>
      <c r="AO21" s="222">
        <f>'Tamaki Pipe Network UnEscal'!AP24*'Tamaki Pipe Network  Escal'!AQ$1</f>
        <v>718632.44305385742</v>
      </c>
      <c r="AP21" s="222">
        <v>0</v>
      </c>
      <c r="AQ21" s="222">
        <v>0</v>
      </c>
      <c r="AR21" s="222">
        <f t="shared" ref="AR21" si="10">SUM(N21:AQ21)</f>
        <v>37206839.212685116</v>
      </c>
    </row>
    <row r="22" spans="1:44" x14ac:dyDescent="0.3">
      <c r="B22" s="228"/>
    </row>
    <row r="23" spans="1:44" x14ac:dyDescent="0.3">
      <c r="A23" s="179" t="s">
        <v>250</v>
      </c>
      <c r="AR23" s="164"/>
    </row>
    <row r="24" spans="1:44" x14ac:dyDescent="0.3">
      <c r="A24" s="38" t="s">
        <v>133</v>
      </c>
      <c r="B24" s="38" t="s">
        <v>258</v>
      </c>
      <c r="C24" s="38" t="s">
        <v>99</v>
      </c>
      <c r="D24" s="38" t="s">
        <v>245</v>
      </c>
      <c r="E24" s="38" t="s">
        <v>246</v>
      </c>
      <c r="F24" s="38" t="s">
        <v>247</v>
      </c>
      <c r="G24" s="38" t="s">
        <v>248</v>
      </c>
      <c r="H24" s="38" t="s">
        <v>100</v>
      </c>
      <c r="I24" s="38" t="s">
        <v>104</v>
      </c>
      <c r="J24" s="38" t="s">
        <v>249</v>
      </c>
    </row>
    <row r="25" spans="1:44" ht="43.2" x14ac:dyDescent="0.3">
      <c r="A25" s="233" t="s">
        <v>130</v>
      </c>
      <c r="B25" s="207" t="s">
        <v>273</v>
      </c>
      <c r="C25" s="234">
        <f>AR7</f>
        <v>723057447.72890925</v>
      </c>
      <c r="D25" s="234">
        <f>AR$21</f>
        <v>37206839.212685116</v>
      </c>
      <c r="E25" s="234">
        <f>(L4*$AR4)+(L5*$AR5)</f>
        <v>558192963.04176235</v>
      </c>
      <c r="F25" s="234">
        <f>(M4*$AR4)+(M5*$AR5)</f>
        <v>127657645.47446172</v>
      </c>
      <c r="G25" s="234">
        <f>SUM(D25:F25)-C25</f>
        <v>0</v>
      </c>
      <c r="H25" s="235">
        <f>D25/$C25</f>
        <v>5.1457652956276315E-2</v>
      </c>
      <c r="I25" s="235">
        <f t="shared" ref="I25:J25" si="11">E25/$C25</f>
        <v>0.7719897842073562</v>
      </c>
      <c r="J25" s="235">
        <f t="shared" si="11"/>
        <v>0.17655256283636744</v>
      </c>
    </row>
    <row r="26" spans="1:44" ht="72" x14ac:dyDescent="0.3">
      <c r="A26" s="228" t="s">
        <v>269</v>
      </c>
      <c r="B26" s="207" t="s">
        <v>274</v>
      </c>
      <c r="C26" s="234">
        <f>AR12</f>
        <v>477395545.72338402</v>
      </c>
      <c r="D26" s="234">
        <f>AR$21</f>
        <v>37206839.212685116</v>
      </c>
      <c r="E26" s="234">
        <f>(L9*$AR9)+(L10*$AR10)</f>
        <v>282828811.12951171</v>
      </c>
      <c r="F26" s="234">
        <f>(M9*$AR9)+(M10*$AR10)</f>
        <v>157359895.38118714</v>
      </c>
      <c r="G26" s="234">
        <f>SUM(D26:F26)-C26</f>
        <v>0</v>
      </c>
      <c r="H26" s="235">
        <f t="shared" ref="H26:H27" si="12">D26/$C26</f>
        <v>7.7937131056190823E-2</v>
      </c>
      <c r="I26" s="235">
        <f>E26/$C26</f>
        <v>0.59244124429554357</v>
      </c>
      <c r="J26" s="235">
        <f t="shared" ref="J26:J27" si="13">F26/$C26</f>
        <v>0.32962162464826544</v>
      </c>
    </row>
    <row r="27" spans="1:44" ht="57.6" x14ac:dyDescent="0.3">
      <c r="A27" s="236" t="s">
        <v>257</v>
      </c>
      <c r="B27" s="207" t="s">
        <v>264</v>
      </c>
      <c r="C27" s="234">
        <f>AR19</f>
        <v>666671011.27591479</v>
      </c>
      <c r="D27" s="234">
        <f>AR$21</f>
        <v>37206839.212685116</v>
      </c>
      <c r="E27" s="234">
        <f>(L16*$AR16)+(L17*$AR17)</f>
        <v>388095537.67307091</v>
      </c>
      <c r="F27" s="234">
        <f>(M16*$AR16)+(M17*$AR17)</f>
        <v>241368634.39015865</v>
      </c>
      <c r="G27" s="234">
        <f>SUM(D27:F27)-C27</f>
        <v>0</v>
      </c>
      <c r="H27" s="235">
        <f t="shared" si="12"/>
        <v>5.580989511074802E-2</v>
      </c>
      <c r="I27" s="235">
        <f t="shared" ref="I27" si="14">E27/$C27</f>
        <v>0.58213951275654008</v>
      </c>
      <c r="J27" s="235">
        <f t="shared" si="13"/>
        <v>0.36205059213271168</v>
      </c>
    </row>
    <row r="29" spans="1:44" x14ac:dyDescent="0.3">
      <c r="A29" s="15" t="s">
        <v>256</v>
      </c>
      <c r="C29" s="175">
        <f>SUM('Tamaki Specific Proj Escalated'!AU19:AU24)</f>
        <v>69975898.880018219</v>
      </c>
    </row>
    <row r="31" spans="1:44" x14ac:dyDescent="0.3">
      <c r="C31" s="181"/>
    </row>
    <row r="32" spans="1:44" ht="28.8" x14ac:dyDescent="0.3">
      <c r="A32" s="38" t="s">
        <v>133</v>
      </c>
      <c r="B32" s="38" t="s">
        <v>258</v>
      </c>
      <c r="C32" s="38" t="s">
        <v>255</v>
      </c>
      <c r="D32" s="38" t="s">
        <v>245</v>
      </c>
      <c r="E32" s="38" t="s">
        <v>246</v>
      </c>
      <c r="F32" s="38" t="s">
        <v>278</v>
      </c>
      <c r="G32" s="38" t="s">
        <v>100</v>
      </c>
      <c r="H32" s="38" t="s">
        <v>104</v>
      </c>
      <c r="I32" s="38" t="s">
        <v>249</v>
      </c>
    </row>
    <row r="33" spans="1:9" ht="43.2" x14ac:dyDescent="0.3">
      <c r="A33" s="233" t="s">
        <v>130</v>
      </c>
      <c r="B33" s="207" t="s">
        <v>273</v>
      </c>
      <c r="C33" s="234">
        <f>C$29+C25</f>
        <v>793033346.60892749</v>
      </c>
      <c r="D33" s="234">
        <f>+D25+'Tamaki Specific Proj Escalated'!$AZ$25</f>
        <v>49139655.776586615</v>
      </c>
      <c r="E33" s="234">
        <f>+E25+'Tamaki Specific Proj Escalated'!$AW$25</f>
        <v>604577933.24099135</v>
      </c>
      <c r="F33" s="234">
        <f>+F25+'Tamaki Specific Proj Escalated'!AY25</f>
        <v>139315757.59134945</v>
      </c>
      <c r="G33" s="235">
        <f>+D33/$C33</f>
        <v>6.1964173368889999E-2</v>
      </c>
      <c r="H33" s="235">
        <f t="shared" ref="H33:I35" si="15">+E33/$C33</f>
        <v>0.76236130022301563</v>
      </c>
      <c r="I33" s="235">
        <f t="shared" si="15"/>
        <v>0.17567452640809433</v>
      </c>
    </row>
    <row r="34" spans="1:9" ht="72" x14ac:dyDescent="0.3">
      <c r="A34" s="228" t="s">
        <v>269</v>
      </c>
      <c r="B34" s="207" t="s">
        <v>274</v>
      </c>
      <c r="C34" s="234">
        <f>C$29+C26</f>
        <v>547371444.60340226</v>
      </c>
      <c r="D34" s="237">
        <f>+D26+'Tamaki Specific Proj Escalated'!$AZ$25</f>
        <v>49139655.776586615</v>
      </c>
      <c r="E34" s="237">
        <f>+E26+'Tamaki Specific Proj Escalated'!$AW$25</f>
        <v>329213781.32874072</v>
      </c>
      <c r="F34" s="237">
        <f>+F26+'Tamaki Specific Proj Escalated'!AY26</f>
        <v>157359895.38118714</v>
      </c>
      <c r="G34" s="235">
        <f t="shared" ref="G34:G35" si="16">+D34/$C34</f>
        <v>8.9773875237848272E-2</v>
      </c>
      <c r="H34" s="235">
        <f t="shared" si="15"/>
        <v>0.60144493209226946</v>
      </c>
      <c r="I34" s="235">
        <f t="shared" si="15"/>
        <v>0.2874828362579312</v>
      </c>
    </row>
    <row r="35" spans="1:9" ht="57.6" x14ac:dyDescent="0.3">
      <c r="A35" s="236" t="s">
        <v>257</v>
      </c>
      <c r="B35" s="207" t="s">
        <v>264</v>
      </c>
      <c r="C35" s="234">
        <f>C$29+C27</f>
        <v>736646910.15593302</v>
      </c>
      <c r="D35" s="234">
        <f>+D27+'Tamaki Specific Proj Escalated'!$AZ$25</f>
        <v>49139655.776586615</v>
      </c>
      <c r="E35" s="234">
        <f>+E27+'Tamaki Specific Proj Escalated'!$AW$25</f>
        <v>434480507.87229991</v>
      </c>
      <c r="F35" s="234">
        <f>+F27+'Tamaki Specific Proj Escalated'!AY27</f>
        <v>241368634.39015865</v>
      </c>
      <c r="G35" s="235">
        <f t="shared" si="16"/>
        <v>6.6707204088027411E-2</v>
      </c>
      <c r="H35" s="235">
        <f t="shared" si="15"/>
        <v>0.58980836257132918</v>
      </c>
      <c r="I35" s="235">
        <f t="shared" si="15"/>
        <v>0.32765851734729445</v>
      </c>
    </row>
    <row r="48" spans="1:9" x14ac:dyDescent="0.3">
      <c r="C48" s="175"/>
    </row>
    <row r="49" spans="3:3" x14ac:dyDescent="0.3">
      <c r="C49" s="182"/>
    </row>
  </sheetData>
  <sheetProtection algorithmName="SHA-512" hashValue="Bk35EcfIPh64YBvxpjrU9n0P0Kx09DIpmM3ZMG7DTbNoPS44+HVrwhcz4H8Gw2I5zlRzHsULfJUXFzyqHHWMZQ==" saltValue="LLwFMOfBC5zg4ojrLQYpo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1F017-2548-4F99-ABFB-C7D4B7F618DE}">
  <sheetPr>
    <tabColor theme="5" tint="0.59999389629810485"/>
  </sheetPr>
  <dimension ref="A1:BA25"/>
  <sheetViews>
    <sheetView topLeftCell="A14" workbookViewId="0">
      <selection activeCell="D33" sqref="D33"/>
    </sheetView>
  </sheetViews>
  <sheetFormatPr defaultColWidth="9.109375" defaultRowHeight="14.4" x14ac:dyDescent="0.3"/>
  <cols>
    <col min="1" max="1" width="27.6640625" style="15" bestFit="1" customWidth="1"/>
    <col min="2" max="2" width="11.5546875" style="15" bestFit="1" customWidth="1"/>
    <col min="3" max="3" width="13.33203125" style="15" customWidth="1"/>
    <col min="4" max="4" width="64.33203125" style="15" bestFit="1" customWidth="1"/>
    <col min="5" max="5" width="15.44140625" style="15" customWidth="1"/>
    <col min="6" max="6" width="10.109375" style="15" customWidth="1"/>
    <col min="7" max="7" width="7.44140625" style="15" bestFit="1" customWidth="1"/>
    <col min="8" max="8" width="12.33203125" style="15" customWidth="1"/>
    <col min="9" max="10" width="16.6640625" style="15" customWidth="1"/>
    <col min="11" max="11" width="10.6640625" style="15" bestFit="1" customWidth="1"/>
    <col min="12" max="12" width="14.33203125" style="15" bestFit="1" customWidth="1"/>
    <col min="13" max="13" width="18.88671875" style="15" bestFit="1" customWidth="1"/>
    <col min="14" max="14" width="18.6640625" style="15" bestFit="1" customWidth="1"/>
    <col min="15" max="15" width="9.6640625" style="15" bestFit="1" customWidth="1"/>
    <col min="16" max="16" width="9.44140625" style="15" bestFit="1" customWidth="1"/>
    <col min="17" max="18" width="12.88671875" style="15" bestFit="1" customWidth="1"/>
    <col min="19" max="19" width="11.5546875" style="15" bestFit="1" customWidth="1"/>
    <col min="20" max="21" width="12.88671875" style="15" bestFit="1" customWidth="1"/>
    <col min="22" max="22" width="11.5546875" style="15" bestFit="1" customWidth="1"/>
    <col min="23" max="26" width="12.88671875" style="15" bestFit="1" customWidth="1"/>
    <col min="27" max="27" width="14" style="15" bestFit="1" customWidth="1"/>
    <col min="28" max="45" width="11.5546875" style="15" bestFit="1" customWidth="1"/>
    <col min="46" max="46" width="11.5546875" style="15" customWidth="1"/>
    <col min="47" max="47" width="12" style="15" bestFit="1" customWidth="1"/>
    <col min="48" max="48" width="59.88671875" style="15" customWidth="1"/>
    <col min="49" max="49" width="11.6640625" style="15" customWidth="1"/>
    <col min="50" max="50" width="11.5546875" style="15" customWidth="1"/>
    <col min="51" max="16384" width="9.109375" style="15"/>
  </cols>
  <sheetData>
    <row r="1" spans="1:53" x14ac:dyDescent="0.3">
      <c r="L1" s="164"/>
    </row>
    <row r="2" spans="1:53" s="166" customFormat="1" ht="18" x14ac:dyDescent="0.3">
      <c r="A2" s="165" t="s">
        <v>88</v>
      </c>
    </row>
    <row r="3" spans="1:53" x14ac:dyDescent="0.3">
      <c r="Q3" s="167" t="s">
        <v>89</v>
      </c>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row>
    <row r="4" spans="1:53" s="39" customFormat="1" ht="44.25" customHeight="1" x14ac:dyDescent="0.3">
      <c r="A4" s="36" t="s">
        <v>90</v>
      </c>
      <c r="B4" s="36" t="s">
        <v>91</v>
      </c>
      <c r="C4" s="36" t="s">
        <v>92</v>
      </c>
      <c r="D4" s="36" t="s">
        <v>93</v>
      </c>
      <c r="E4" s="36" t="s">
        <v>94</v>
      </c>
      <c r="F4" s="36" t="s">
        <v>95</v>
      </c>
      <c r="G4" s="36" t="s">
        <v>96</v>
      </c>
      <c r="H4" s="36" t="s">
        <v>97</v>
      </c>
      <c r="I4" s="36" t="s">
        <v>98</v>
      </c>
      <c r="J4" s="36" t="s">
        <v>99</v>
      </c>
      <c r="K4" s="36" t="s">
        <v>100</v>
      </c>
      <c r="L4" s="36" t="s">
        <v>101</v>
      </c>
      <c r="M4" s="37" t="s">
        <v>102</v>
      </c>
      <c r="N4" s="37" t="s">
        <v>103</v>
      </c>
      <c r="O4" s="36" t="s">
        <v>104</v>
      </c>
      <c r="P4" s="36" t="s">
        <v>105</v>
      </c>
      <c r="Q4" s="38">
        <v>2025</v>
      </c>
      <c r="R4" s="38">
        <v>2026</v>
      </c>
      <c r="S4" s="38">
        <v>2027</v>
      </c>
      <c r="T4" s="38">
        <v>2028</v>
      </c>
      <c r="U4" s="38">
        <v>2029</v>
      </c>
      <c r="V4" s="38">
        <v>2030</v>
      </c>
      <c r="W4" s="38">
        <v>2031</v>
      </c>
      <c r="X4" s="38">
        <v>2032</v>
      </c>
      <c r="Y4" s="38">
        <v>2033</v>
      </c>
      <c r="Z4" s="38">
        <v>2034</v>
      </c>
      <c r="AA4" s="38">
        <v>2035</v>
      </c>
      <c r="AB4" s="38">
        <v>2036</v>
      </c>
      <c r="AC4" s="38">
        <v>2037</v>
      </c>
      <c r="AD4" s="38">
        <v>2038</v>
      </c>
      <c r="AE4" s="38">
        <v>2039</v>
      </c>
      <c r="AF4" s="38">
        <v>2040</v>
      </c>
      <c r="AG4" s="38">
        <v>2041</v>
      </c>
      <c r="AH4" s="38">
        <v>2042</v>
      </c>
      <c r="AI4" s="38">
        <v>2043</v>
      </c>
      <c r="AJ4" s="38">
        <v>2044</v>
      </c>
      <c r="AK4" s="38">
        <v>2045</v>
      </c>
      <c r="AL4" s="38">
        <v>2046</v>
      </c>
      <c r="AM4" s="38">
        <v>2047</v>
      </c>
      <c r="AN4" s="38">
        <v>2048</v>
      </c>
      <c r="AO4" s="38">
        <v>2049</v>
      </c>
      <c r="AP4" s="38">
        <v>2050</v>
      </c>
      <c r="AQ4" s="38">
        <v>2051</v>
      </c>
      <c r="AR4" s="38">
        <v>2052</v>
      </c>
      <c r="AS4" s="38">
        <v>2053</v>
      </c>
      <c r="AT4" s="38">
        <v>2054</v>
      </c>
      <c r="AU4" s="38" t="s">
        <v>106</v>
      </c>
      <c r="AV4" s="163" t="s">
        <v>258</v>
      </c>
    </row>
    <row r="5" spans="1:53" s="216" customFormat="1" ht="57.6" x14ac:dyDescent="0.3">
      <c r="A5" s="216" t="s">
        <v>181</v>
      </c>
      <c r="B5" s="216" t="str">
        <f>'Projects in LTP &amp; DCs'!B8</f>
        <v>N.009877.60</v>
      </c>
      <c r="C5" s="216">
        <f>'Projects in LTP &amp; DCs'!C8</f>
        <v>27311</v>
      </c>
      <c r="D5" s="216" t="str">
        <f>'Projects in LTP &amp; DCs'!D8 &amp; "(LTP)"</f>
        <v>CPT AHP: Maybury Reserve Integrated Stormwater(LTP)</v>
      </c>
      <c r="E5" s="216" t="str">
        <f>'Projects in LTP &amp; DCs'!F8</f>
        <v>To do</v>
      </c>
      <c r="F5" s="216" t="str">
        <f>'Projects in LTP &amp; DCs'!G8</f>
        <v>No</v>
      </c>
      <c r="G5" s="216" t="s">
        <v>107</v>
      </c>
      <c r="H5" s="216">
        <v>2028</v>
      </c>
      <c r="I5" s="216">
        <v>2029</v>
      </c>
      <c r="J5" s="212">
        <f>'Projects in LTP &amp; DCs'!AB8</f>
        <v>20446000</v>
      </c>
      <c r="K5" s="213">
        <f>'Projects in LTP &amp; DCs'!L8</f>
        <v>0</v>
      </c>
      <c r="L5" s="212">
        <f>K5*J5</f>
        <v>0</v>
      </c>
      <c r="M5" s="218">
        <f>'Projects in LTP &amp; DCs'!M8</f>
        <v>0.95</v>
      </c>
      <c r="N5" s="218">
        <f>'Projects in LTP &amp; DCs'!N8</f>
        <v>0.95</v>
      </c>
      <c r="O5" s="218">
        <f t="shared" ref="O5:O6" si="0">(M5+N5)/2</f>
        <v>0.95</v>
      </c>
      <c r="P5" s="218">
        <f>100%-O5-K5</f>
        <v>5.0000000000000044E-2</v>
      </c>
      <c r="Q5" s="217"/>
      <c r="R5" s="217">
        <f>IF($G5="Yes",IF(AND(R$4&gt;=$H5,R$4&lt;=$I5),$J5/($I5-$H5+1),0),IF(R$4&lt;2035,'Projects in LTP &amp; DCs'!S7,0))</f>
        <v>0</v>
      </c>
      <c r="S5" s="217">
        <f>IF($G5="Yes",IF(AND(S$4&gt;=$H5,S$4&lt;=$I5),$J5/($I5-$H5+1),0),IF(S$4&lt;2035,'Projects in LTP &amp; DCs'!T7,0))</f>
        <v>0</v>
      </c>
      <c r="T5" s="217">
        <v>0</v>
      </c>
      <c r="U5" s="217">
        <v>0</v>
      </c>
      <c r="V5" s="217">
        <f>IF($G5="Yes",IF(AND(V$4&gt;=$H5,V$4&lt;=$I5),$J5/($I5-$H5+1),0),IF(V$4&lt;2035,'Projects in LTP &amp; DCs'!W7,0))</f>
        <v>0</v>
      </c>
      <c r="W5" s="217">
        <f>IF($G5="Yes",IF(AND(W$4&gt;=$H5,W$4&lt;=$I5),$J5/($I5-$H5+1),0),IF(W$4&lt;2035,'Projects in LTP &amp; DCs'!X7,0))</f>
        <v>0</v>
      </c>
      <c r="X5" s="217">
        <f>IF($G5="Yes",IF(AND(X$4&gt;=$H5,X$4&lt;=$I5),$J5/($I5-$H5+1),0),IF(X$4&lt;2035,'Projects in LTP &amp; DCs'!Y7,0))</f>
        <v>0</v>
      </c>
      <c r="Y5" s="217">
        <f>IF($G5="Yes",IF(AND(Y$4&gt;=$H5,Y$4&lt;=$I5),$J5/($I5-$H5+1),0),IF(Y$4&lt;2035,'Projects in LTP &amp; DCs'!Z7,0))</f>
        <v>0</v>
      </c>
      <c r="Z5" s="217">
        <f>IF($G5="Yes",IF(AND(Z$4&gt;=$H5,Z$4&lt;=$I5),$J5/($I5-$H5+1),0),IF(Z$4&lt;2035,'Projects in LTP &amp; DCs'!AA7,0))</f>
        <v>0</v>
      </c>
      <c r="AA5" s="217">
        <f>0.1*$J$5</f>
        <v>2044600</v>
      </c>
      <c r="AB5" s="217">
        <f>0.1*$J$5</f>
        <v>2044600</v>
      </c>
      <c r="AC5" s="217">
        <f>0.3*$J$5</f>
        <v>6133800</v>
      </c>
      <c r="AD5" s="217">
        <f>0.3*$J$5</f>
        <v>6133800</v>
      </c>
      <c r="AE5" s="217">
        <f>0.2*$J$5</f>
        <v>4089200</v>
      </c>
      <c r="AF5" s="217">
        <f>IF($G5="Yes",IF(AND(AF$4&gt;=$H5,AF$4&lt;=$I5),$J5/($I5-$H5+1),0),IF(AF$4&lt;2035,'Projects in LTP &amp; DCs'!AG7,0))</f>
        <v>0</v>
      </c>
      <c r="AG5" s="217">
        <f>IF($G5="Yes",IF(AND(AG$4&gt;=$H5,AG$4&lt;=$I5),$J5/($I5-$H5+1),0),IF(AG$4&lt;2035,'Projects in LTP &amp; DCs'!AH7,0))</f>
        <v>0</v>
      </c>
      <c r="AH5" s="217">
        <f>IF($G5="Yes",IF(AND(AH$4&gt;=$H5,AH$4&lt;=$I5),$J5/($I5-$H5+1),0),IF(AH$4&lt;2035,'Projects in LTP &amp; DCs'!AI7,0))</f>
        <v>0</v>
      </c>
      <c r="AI5" s="217">
        <f>IF($G5="Yes",IF(AND(AI$4&gt;=$H5,AI$4&lt;=$I5),$J5/($I5-$H5+1),0),IF(AI$4&lt;2035,'Projects in LTP &amp; DCs'!AJ7,0))</f>
        <v>0</v>
      </c>
      <c r="AJ5" s="217">
        <f>IF($G5="Yes",IF(AND(AJ$4&gt;=$H5,AJ$4&lt;=$I5),$J5/($I5-$H5+1),0),IF(AJ$4&lt;2035,'Projects in LTP &amp; DCs'!AK7,0))</f>
        <v>0</v>
      </c>
      <c r="AK5" s="217">
        <f>IF($G5="Yes",IF(AND(AK$4&gt;=$H5,AK$4&lt;=$I5),$J5/($I5-$H5+1),0),IF(AK$4&lt;2035,'Projects in LTP &amp; DCs'!AL7,0))</f>
        <v>0</v>
      </c>
      <c r="AL5" s="217">
        <f>IF($G5="Yes",IF(AND(AL$4&gt;=$H5,AL$4&lt;=$I5),$J5/($I5-$H5+1),0),IF(AL$4&lt;2035,'Projects in LTP &amp; DCs'!AM7,0))</f>
        <v>0</v>
      </c>
      <c r="AM5" s="217">
        <f>IF($G5="Yes",IF(AND(AM$4&gt;=$H5,AM$4&lt;=$I5),$J5/($I5-$H5+1),0),IF(AM$4&lt;2035,'Projects in LTP &amp; DCs'!AN7,0))</f>
        <v>0</v>
      </c>
      <c r="AN5" s="217">
        <f>IF($G5="Yes",IF(AND(AN$4&gt;=$H5,AN$4&lt;=$I5),$J5/($I5-$H5+1),0),IF(AN$4&lt;2035,'Projects in LTP &amp; DCs'!AO7,0))</f>
        <v>0</v>
      </c>
      <c r="AO5" s="217">
        <f>IF($G5="Yes",IF(AND(AO$4&gt;=$H5,AO$4&lt;=$I5),$J5/($I5-$H5+1),0),IF(AO$4&lt;2035,'Projects in LTP &amp; DCs'!AP7,0))</f>
        <v>0</v>
      </c>
      <c r="AP5" s="217">
        <f>IF($G5="Yes",IF(AND(AP$4&gt;=$H5,AP$4&lt;=$I5),$J5/($I5-$H5+1),0),IF(AP$4&lt;2035,'Projects in LTP &amp; DCs'!AQ7,0))</f>
        <v>0</v>
      </c>
      <c r="AQ5" s="217">
        <f>IF($G5="Yes",IF(AND(AQ$4&gt;=$H5,AQ$4&lt;=$I5),$J5/($I5-$H5+1),0),IF(AQ$4&lt;2035,'Projects in LTP &amp; DCs'!AR7,0))</f>
        <v>0</v>
      </c>
      <c r="AR5" s="217">
        <f>IF($G5="Yes",IF(AND(AR$4&gt;=$H5,AR$4&lt;=$I5),$J5/($I5-$H5+1),0),IF(AR$4&lt;2035,'Projects in LTP &amp; DCs'!AS7,0))</f>
        <v>0</v>
      </c>
      <c r="AS5" s="217">
        <f>IF($G5="Yes",IF(AND(AS$4&gt;=$H5,AS$4&lt;=$I5),$J5/($I5-$H5+1),0),IF(AS$4&lt;2035,'Projects in LTP &amp; DCs'!AT7,0))</f>
        <v>0</v>
      </c>
      <c r="AT5" s="217"/>
      <c r="AU5" s="219">
        <f>SUM(Q5:AS5)</f>
        <v>20446000</v>
      </c>
      <c r="AV5" s="220" t="s">
        <v>268</v>
      </c>
    </row>
    <row r="6" spans="1:53" s="216" customFormat="1" ht="57.6" x14ac:dyDescent="0.3">
      <c r="A6" s="216" t="str">
        <f>'30 yr projects not in LTP'!A4</f>
        <v>Stormwater</v>
      </c>
      <c r="B6" s="216" t="str">
        <f>'30 yr projects not in LTP'!B4</f>
        <v>N.011220</v>
      </c>
      <c r="C6" s="216">
        <f>'30 yr projects not in LTP'!C4</f>
        <v>36368</v>
      </c>
      <c r="D6" s="216" t="str">
        <f>'30 yr projects not in LTP'!D4</f>
        <v>Pilkington Road stormwater pipe upgrade and propriety device</v>
      </c>
      <c r="E6" s="216" t="str">
        <f>'30 yr projects not in LTP'!F4</f>
        <v>To do</v>
      </c>
      <c r="F6" s="216" t="s">
        <v>108</v>
      </c>
      <c r="G6" s="216" t="s">
        <v>107</v>
      </c>
      <c r="H6" s="216">
        <v>2031</v>
      </c>
      <c r="I6" s="216">
        <v>2034</v>
      </c>
      <c r="J6" s="212">
        <f>'30 yr projects not in LTP'!S4</f>
        <v>18373000</v>
      </c>
      <c r="K6" s="214">
        <f>'30 yr projects not in LTP'!L4</f>
        <v>0.1</v>
      </c>
      <c r="L6" s="212">
        <f t="shared" ref="L6" si="1">K6*J6</f>
        <v>1837300</v>
      </c>
      <c r="M6" s="218">
        <f>'30 yr projects not in LTP'!M4</f>
        <v>0.6</v>
      </c>
      <c r="N6" s="218">
        <f>'30 yr projects not in LTP'!N4</f>
        <v>0.6</v>
      </c>
      <c r="O6" s="218">
        <f t="shared" si="0"/>
        <v>0.6</v>
      </c>
      <c r="P6" s="218">
        <f t="shared" ref="P6:P10" si="2">100%-O6-K6</f>
        <v>0.30000000000000004</v>
      </c>
      <c r="Q6" s="217">
        <f>IF($G6="Yes",IF(AND(Q$4&gt;=$H6,Q$4&lt;=$I6),$J6/($I6-$H6+1),0),IF(Q$4&lt;2035,'Projects in LTP &amp; DCs'!R10,0))</f>
        <v>0</v>
      </c>
      <c r="R6" s="217">
        <f>IF($G6="Yes",IF(AND(R$4&gt;=$H6,R$4&lt;=$I6),$J6/($I6-$H6+1),0),IF(R$4&lt;2035,'Projects in LTP &amp; DCs'!S10,0))</f>
        <v>0</v>
      </c>
      <c r="S6" s="217">
        <f>IF($G6="Yes",IF(AND(S$4&gt;=$H6,S$4&lt;=$I6),$J6/($I6-$H6+1),0),IF(S$4&lt;2035,'Projects in LTP &amp; DCs'!T10,0))</f>
        <v>0</v>
      </c>
      <c r="T6" s="217">
        <f>IF($G6="Yes",IF(AND(T$4&gt;=$H6,T$4&lt;=$I6),$J6/($I6-$H6+1),0),IF(T$4&lt;2035,'Projects in LTP &amp; DCs'!U10,0))</f>
        <v>0</v>
      </c>
      <c r="U6" s="217">
        <f>IF($G6="Yes",IF(AND(U$4&gt;=$H6,U$4&lt;=$I6),$J6/($I6-$H6+1),0),IF(U$4&lt;2035,'Projects in LTP &amp; DCs'!V10,0))</f>
        <v>0</v>
      </c>
      <c r="V6" s="217">
        <f>IF($G6="Yes",IF(AND(V$4&gt;=$H6,V$4&lt;=$I6),$J6/($I6-$H6+1),0),IF(V$4&lt;2035,'Projects in LTP &amp; DCs'!W10,0))</f>
        <v>0</v>
      </c>
      <c r="W6" s="217">
        <f>IF($G6="Yes",IF(AND(W$4&gt;=$H6,W$4&lt;=$I6),$J6/($I6-$H6+1),0),IF(W$4&lt;2035,'Projects in LTP &amp; DCs'!X10,0))</f>
        <v>4593250</v>
      </c>
      <c r="X6" s="217">
        <f>IF($G6="Yes",IF(AND(X$4&gt;=$H6,X$4&lt;=$I6),$J6/($I6-$H6+1),0),IF(X$4&lt;2035,'Projects in LTP &amp; DCs'!Y10,0))</f>
        <v>4593250</v>
      </c>
      <c r="Y6" s="217">
        <f>IF($G6="Yes",IF(AND(Y$4&gt;=$H6,Y$4&lt;=$I6),$J6/($I6-$H6+1),0),IF(Y$4&lt;2035,'Projects in LTP &amp; DCs'!Z10,0))</f>
        <v>4593250</v>
      </c>
      <c r="Z6" s="217">
        <f>IF($G6="Yes",IF(AND(Z$4&gt;=$H6,Z$4&lt;=$I6),$J6/($I6-$H6+1),0),IF(Z$4&lt;2035,'Projects in LTP &amp; DCs'!AA10,0))</f>
        <v>4593250</v>
      </c>
      <c r="AA6" s="217">
        <f>IF($G6="Yes",IF(AND(AA$4&gt;=$H6,AA$4&lt;=$I6),$J6/($I6-$H6+1),0),IF(AA$4&lt;2035,'Projects in LTP &amp; DCs'!AB10,0))</f>
        <v>0</v>
      </c>
      <c r="AB6" s="217">
        <f>IF($G6="Yes",IF(AND(AB$4&gt;=$H6,AB$4&lt;=$I6),$J6/($I6-$H6+1),0),IF(AB$4&lt;2035,'Projects in LTP &amp; DCs'!AC10,0))</f>
        <v>0</v>
      </c>
      <c r="AC6" s="217">
        <f>IF($G6="Yes",IF(AND(AC$4&gt;=$H6,AC$4&lt;=$I6),$J6/($I6-$H6+1),0),IF(AC$4&lt;2035,'Projects in LTP &amp; DCs'!AD10,0))</f>
        <v>0</v>
      </c>
      <c r="AD6" s="217">
        <f>IF($G6="Yes",IF(AND(AD$4&gt;=$H6,AD$4&lt;=$I6),$J6/($I6-$H6+1),0),IF(AD$4&lt;2035,'Projects in LTP &amp; DCs'!AE10,0))</f>
        <v>0</v>
      </c>
      <c r="AE6" s="217">
        <f>IF($G6="Yes",IF(AND(AE$4&gt;=$H6,AE$4&lt;=$I6),$J6/($I6-$H6+1),0),IF(AE$4&lt;2035,'Projects in LTP &amp; DCs'!AF10,0))</f>
        <v>0</v>
      </c>
      <c r="AF6" s="217">
        <f>IF($G6="Yes",IF(AND(AF$4&gt;=$H6,AF$4&lt;=$I6),$J6/($I6-$H6+1),0),IF(AF$4&lt;2035,'Projects in LTP &amp; DCs'!AG10,0))</f>
        <v>0</v>
      </c>
      <c r="AG6" s="217">
        <f>IF($G6="Yes",IF(AND(AG$4&gt;=$H6,AG$4&lt;=$I6),$J6/($I6-$H6+1),0),IF(AG$4&lt;2035,'Projects in LTP &amp; DCs'!AH10,0))</f>
        <v>0</v>
      </c>
      <c r="AH6" s="217">
        <f>IF($G6="Yes",IF(AND(AH$4&gt;=$H6,AH$4&lt;=$I6),$J6/($I6-$H6+1),0),IF(AH$4&lt;2035,'Projects in LTP &amp; DCs'!AI10,0))</f>
        <v>0</v>
      </c>
      <c r="AI6" s="217">
        <f>IF($G6="Yes",IF(AND(AI$4&gt;=$H6,AI$4&lt;=$I6),$J6/($I6-$H6+1),0),IF(AI$4&lt;2035,'Projects in LTP &amp; DCs'!AJ10,0))</f>
        <v>0</v>
      </c>
      <c r="AJ6" s="217">
        <f>IF($G6="Yes",IF(AND(AJ$4&gt;=$H6,AJ$4&lt;=$I6),$J6/($I6-$H6+1),0),IF(AJ$4&lt;2035,'Projects in LTP &amp; DCs'!AK10,0))</f>
        <v>0</v>
      </c>
      <c r="AK6" s="217">
        <f>IF($G6="Yes",IF(AND(AK$4&gt;=$H6,AK$4&lt;=$I6),$J6/($I6-$H6+1),0),IF(AK$4&lt;2035,'Projects in LTP &amp; DCs'!AL10,0))</f>
        <v>0</v>
      </c>
      <c r="AL6" s="217">
        <f>IF($G6="Yes",IF(AND(AL$4&gt;=$H6,AL$4&lt;=$I6),$J6/($I6-$H6+1),0),IF(AL$4&lt;2035,'Projects in LTP &amp; DCs'!AM10,0))</f>
        <v>0</v>
      </c>
      <c r="AM6" s="217">
        <f>IF($G6="Yes",IF(AND(AM$4&gt;=$H6,AM$4&lt;=$I6),$J6/($I6-$H6+1),0),IF(AM$4&lt;2035,'Projects in LTP &amp; DCs'!AN10,0))</f>
        <v>0</v>
      </c>
      <c r="AN6" s="217">
        <f>IF($G6="Yes",IF(AND(AN$4&gt;=$H6,AN$4&lt;=$I6),$J6/($I6-$H6+1),0),IF(AN$4&lt;2035,'Projects in LTP &amp; DCs'!AO10,0))</f>
        <v>0</v>
      </c>
      <c r="AO6" s="217">
        <f>IF($G6="Yes",IF(AND(AO$4&gt;=$H6,AO$4&lt;=$I6),$J6/($I6-$H6+1),0),IF(AO$4&lt;2035,'Projects in LTP &amp; DCs'!AP10,0))</f>
        <v>0</v>
      </c>
      <c r="AP6" s="217">
        <f>IF($G6="Yes",IF(AND(AP$4&gt;=$H6,AP$4&lt;=$I6),$J6/($I6-$H6+1),0),IF(AP$4&lt;2035,'Projects in LTP &amp; DCs'!AQ10,0))</f>
        <v>0</v>
      </c>
      <c r="AQ6" s="217">
        <f>IF($G6="Yes",IF(AND(AQ$4&gt;=$H6,AQ$4&lt;=$I6),$J6/($I6-$H6+1),0),IF(AQ$4&lt;2035,'Projects in LTP &amp; DCs'!AR10,0))</f>
        <v>0</v>
      </c>
      <c r="AR6" s="217">
        <f>IF($G6="Yes",IF(AND(AR$4&gt;=$H6,AR$4&lt;=$I6),$J6/($I6-$H6+1),0),IF(AR$4&lt;2035,'Projects in LTP &amp; DCs'!AS10,0))</f>
        <v>0</v>
      </c>
      <c r="AS6" s="217">
        <f>IF($G6="Yes",IF(AND(AS$4&gt;=$H6,AS$4&lt;=$I6),$J6/($I6-$H6+1),0),IF(AS$4&lt;2035,'Projects in LTP &amp; DCs'!AT10,0))</f>
        <v>0</v>
      </c>
      <c r="AT6" s="217"/>
      <c r="AU6" s="219">
        <f t="shared" ref="AU6:AU10" si="3">SUM(Q6:AS6)</f>
        <v>18373000</v>
      </c>
      <c r="AV6" s="220" t="s">
        <v>268</v>
      </c>
    </row>
    <row r="7" spans="1:53" s="210" customFormat="1" ht="57.6" x14ac:dyDescent="0.3">
      <c r="A7" s="210" t="str">
        <f>'Projects in LTP &amp; DCs'!A9</f>
        <v>Stormwater</v>
      </c>
      <c r="B7" s="210" t="str">
        <f>'Projects in LTP &amp; DCs'!B9</f>
        <v>N.010936</v>
      </c>
      <c r="C7" s="210">
        <f>'Projects in LTP &amp; DCs'!C9</f>
        <v>32114</v>
      </c>
      <c r="D7" s="210" t="str">
        <f>'Projects in LTP &amp; DCs'!D9</f>
        <v>Johnson Reserve Daylighting (Larsen Road)</v>
      </c>
      <c r="E7" s="210" t="str">
        <f>'Projects in LTP &amp; DCs'!F9</f>
        <v>To do</v>
      </c>
      <c r="F7" s="210" t="str">
        <f>'Projects in LTP &amp; DCs'!G9</f>
        <v>No</v>
      </c>
      <c r="G7" s="210" t="s">
        <v>108</v>
      </c>
      <c r="H7" s="210">
        <v>2024</v>
      </c>
      <c r="I7" s="210">
        <v>2027</v>
      </c>
      <c r="J7" s="212">
        <f>'Projects in LTP &amp; DCs'!AB9</f>
        <v>3443050</v>
      </c>
      <c r="K7" s="214">
        <f>'Projects in LTP &amp; DCs'!L9</f>
        <v>0</v>
      </c>
      <c r="L7" s="210">
        <f t="shared" ref="L7:L10" si="4">K7*J7</f>
        <v>0</v>
      </c>
      <c r="M7" s="214">
        <f>'Projects in LTP &amp; DCs'!M9</f>
        <v>0.6</v>
      </c>
      <c r="N7" s="214">
        <f>'Projects in LTP &amp; DCs'!N9</f>
        <v>0.6</v>
      </c>
      <c r="O7" s="214">
        <f>(M7+N7)/2</f>
        <v>0.6</v>
      </c>
      <c r="P7" s="214">
        <f t="shared" si="2"/>
        <v>0.4</v>
      </c>
      <c r="Q7" s="212">
        <f>IF($G7="Yes",IF(AND(Q$4&gt;=$H7,Q$4&lt;=$I7),$J7/($I7-$H7+1),0),IF(Q$4&lt;2035,'Projects in LTP &amp; DCs'!R9,0))</f>
        <v>2000000</v>
      </c>
      <c r="R7" s="212">
        <f>IF($G7="Yes",IF(AND(R$4&gt;=$H7,R$4&lt;=$I7),$J7/($I7-$H7+1),0),IF(R$4&lt;2035,'Projects in LTP &amp; DCs'!S9,0))</f>
        <v>1200000</v>
      </c>
      <c r="S7" s="212">
        <f>IF($G7="Yes",IF(AND(S$4&gt;=$H7,S$4&lt;=$I7),$J7/($I7-$H7+1),0),IF(S$4&lt;2035,'Projects in LTP &amp; DCs'!T9,0))</f>
        <v>243050</v>
      </c>
      <c r="T7" s="212">
        <f>IF($G7="Yes",IF(AND(T$4&gt;=$H7,T$4&lt;=$I7),$J7/($I7-$H7+1),0),IF(T$4&lt;2035,'Projects in LTP &amp; DCs'!U9,0))</f>
        <v>0</v>
      </c>
      <c r="U7" s="212">
        <f>IF($G7="Yes",IF(AND(U$4&gt;=$H7,U$4&lt;=$I7),$J7/($I7-$H7+1),0),IF(U$4&lt;2035,'Projects in LTP &amp; DCs'!V9,0))</f>
        <v>0</v>
      </c>
      <c r="V7" s="212">
        <f>IF($G7="Yes",IF(AND(V$4&gt;=$H7,V$4&lt;=$I7),$J7/($I7-$H7+1),0),IF(V$4&lt;2035,'Projects in LTP &amp; DCs'!W9,0))</f>
        <v>0</v>
      </c>
      <c r="W7" s="212">
        <f>IF($G7="Yes",IF(AND(W$4&gt;=$H7,W$4&lt;=$I7),$J7/($I7-$H7+1),0),IF(W$4&lt;2035,'Projects in LTP &amp; DCs'!X9,0))</f>
        <v>0</v>
      </c>
      <c r="X7" s="212">
        <f>IF($G7="Yes",IF(AND(X$4&gt;=$H7,X$4&lt;=$I7),$J7/($I7-$H7+1),0),IF(X$4&lt;2035,'Projects in LTP &amp; DCs'!Y9,0))</f>
        <v>0</v>
      </c>
      <c r="Y7" s="212">
        <f>IF($G7="Yes",IF(AND(Y$4&gt;=$H7,Y$4&lt;=$I7),$J7/($I7-$H7+1),0),IF(Y$4&lt;2035,'Projects in LTP &amp; DCs'!Z9,0))</f>
        <v>0</v>
      </c>
      <c r="Z7" s="212">
        <f>IF($G7="Yes",IF(AND(Z$4&gt;=$H7,Z$4&lt;=$I7),$J7/($I7-$H7+1),0),IF(Z$4&lt;2035,'Projects in LTP &amp; DCs'!AA9,0))</f>
        <v>0</v>
      </c>
      <c r="AA7" s="212">
        <f>IF($G7="Yes",IF(AND(AA$4&gt;=$H7,AA$4&lt;=$I7),$J7/($I7-$H7+1),0),IF(AA$4&lt;2035,'Projects in LTP &amp; DCs'!AB9,0))</f>
        <v>0</v>
      </c>
      <c r="AB7" s="212">
        <f>IF($G7="Yes",IF(AND(AB$4&gt;=$H7,AB$4&lt;=$I7),$J7/($I7-$H7+1),0),IF(AB$4&lt;2035,'Projects in LTP &amp; DCs'!AC9,0))</f>
        <v>0</v>
      </c>
      <c r="AC7" s="212">
        <f>IF($G7="Yes",IF(AND(AC$4&gt;=$H7,AC$4&lt;=$I7),$J7/($I7-$H7+1),0),IF(AC$4&lt;2035,'Projects in LTP &amp; DCs'!AD9,0))</f>
        <v>0</v>
      </c>
      <c r="AD7" s="212">
        <f>IF($G7="Yes",IF(AND(AD$4&gt;=$H7,AD$4&lt;=$I7),$J7/($I7-$H7+1),0),IF(AD$4&lt;2035,'Projects in LTP &amp; DCs'!AE9,0))</f>
        <v>0</v>
      </c>
      <c r="AE7" s="212">
        <f>IF($G7="Yes",IF(AND(AE$4&gt;=$H7,AE$4&lt;=$I7),$J7/($I7-$H7+1),0),IF(AE$4&lt;2035,'Projects in LTP &amp; DCs'!AF9,0))</f>
        <v>0</v>
      </c>
      <c r="AF7" s="212">
        <f>IF($G7="Yes",IF(AND(AF$4&gt;=$H7,AF$4&lt;=$I7),$J7/($I7-$H7+1),0),IF(AF$4&lt;2035,'Projects in LTP &amp; DCs'!AG9,0))</f>
        <v>0</v>
      </c>
      <c r="AG7" s="212">
        <f>IF($G7="Yes",IF(AND(AG$4&gt;=$H7,AG$4&lt;=$I7),$J7/($I7-$H7+1),0),IF(AG$4&lt;2035,'Projects in LTP &amp; DCs'!AH9,0))</f>
        <v>0</v>
      </c>
      <c r="AH7" s="212">
        <f>IF($G7="Yes",IF(AND(AH$4&gt;=$H7,AH$4&lt;=$I7),$J7/($I7-$H7+1),0),IF(AH$4&lt;2035,'Projects in LTP &amp; DCs'!AI9,0))</f>
        <v>0</v>
      </c>
      <c r="AI7" s="212">
        <f>IF($G7="Yes",IF(AND(AI$4&gt;=$H7,AI$4&lt;=$I7),$J7/($I7-$H7+1),0),IF(AI$4&lt;2035,'Projects in LTP &amp; DCs'!AJ9,0))</f>
        <v>0</v>
      </c>
      <c r="AJ7" s="212">
        <f>IF($G7="Yes",IF(AND(AJ$4&gt;=$H7,AJ$4&lt;=$I7),$J7/($I7-$H7+1),0),IF(AJ$4&lt;2035,'Projects in LTP &amp; DCs'!AK9,0))</f>
        <v>0</v>
      </c>
      <c r="AK7" s="212">
        <f>IF($G7="Yes",IF(AND(AK$4&gt;=$H7,AK$4&lt;=$I7),$J7/($I7-$H7+1),0),IF(AK$4&lt;2035,'Projects in LTP &amp; DCs'!AL9,0))</f>
        <v>0</v>
      </c>
      <c r="AL7" s="212">
        <f>IF($G7="Yes",IF(AND(AL$4&gt;=$H7,AL$4&lt;=$I7),$J7/($I7-$H7+1),0),IF(AL$4&lt;2035,'Projects in LTP &amp; DCs'!AM9,0))</f>
        <v>0</v>
      </c>
      <c r="AM7" s="212">
        <f>IF($G7="Yes",IF(AND(AM$4&gt;=$H7,AM$4&lt;=$I7),$J7/($I7-$H7+1),0),IF(AM$4&lt;2035,'Projects in LTP &amp; DCs'!AN9,0))</f>
        <v>0</v>
      </c>
      <c r="AN7" s="212">
        <f>IF($G7="Yes",IF(AND(AN$4&gt;=$H7,AN$4&lt;=$I7),$J7/($I7-$H7+1),0),IF(AN$4&lt;2035,'Projects in LTP &amp; DCs'!AO9,0))</f>
        <v>0</v>
      </c>
      <c r="AO7" s="212">
        <f>IF($G7="Yes",IF(AND(AO$4&gt;=$H7,AO$4&lt;=$I7),$J7/($I7-$H7+1),0),IF(AO$4&lt;2035,'Projects in LTP &amp; DCs'!AP9,0))</f>
        <v>0</v>
      </c>
      <c r="AP7" s="212">
        <f>IF($G7="Yes",IF(AND(AP$4&gt;=$H7,AP$4&lt;=$I7),$J7/($I7-$H7+1),0),IF(AP$4&lt;2035,'Projects in LTP &amp; DCs'!AQ9,0))</f>
        <v>0</v>
      </c>
      <c r="AQ7" s="212">
        <f>IF($G7="Yes",IF(AND(AQ$4&gt;=$H7,AQ$4&lt;=$I7),$J7/($I7-$H7+1),0),IF(AQ$4&lt;2035,'Projects in LTP &amp; DCs'!AR9,0))</f>
        <v>0</v>
      </c>
      <c r="AR7" s="212">
        <f>IF($G7="Yes",IF(AND(AR$4&gt;=$H7,AR$4&lt;=$I7),$J7/($I7-$H7+1),0),IF(AR$4&lt;2035,'Projects in LTP &amp; DCs'!AS9,0))</f>
        <v>0</v>
      </c>
      <c r="AS7" s="212">
        <f>IF($G7="Yes",IF(AND(AS$4&gt;=$H7,AS$4&lt;=$I7),$J7/($I7-$H7+1),0),IF(AS$4&lt;2035,'Projects in LTP &amp; DCs'!AT9,0))</f>
        <v>0</v>
      </c>
      <c r="AT7" s="212"/>
      <c r="AU7" s="215">
        <f t="shared" si="3"/>
        <v>3443050</v>
      </c>
      <c r="AV7" s="211" t="s">
        <v>268</v>
      </c>
    </row>
    <row r="8" spans="1:53" s="210" customFormat="1" ht="28.8" x14ac:dyDescent="0.3">
      <c r="A8" s="210" t="str">
        <f>'Projects in LTP &amp; DCs'!A10</f>
        <v>PC3201341</v>
      </c>
      <c r="B8" s="210" t="str">
        <f>'Projects in LTP &amp; DCs'!B10</f>
        <v>N.007102.60</v>
      </c>
      <c r="C8" s="210">
        <f>'Projects in LTP &amp; DCs'!C10</f>
        <v>15279</v>
      </c>
      <c r="D8" s="210" t="str">
        <f>'Projects in LTP &amp; DCs'!D10</f>
        <v>Point England Reserve Online SW Pond Renewal [2483]</v>
      </c>
      <c r="E8" s="210" t="s">
        <v>110</v>
      </c>
      <c r="F8" s="210" t="str">
        <f>'Projects in LTP &amp; DCs'!G10</f>
        <v>Yes</v>
      </c>
      <c r="G8" s="210" t="s">
        <v>108</v>
      </c>
      <c r="H8" s="210">
        <v>2029</v>
      </c>
      <c r="I8" s="210">
        <v>2030</v>
      </c>
      <c r="J8" s="212">
        <f>'Projects in LTP &amp; DCs'!AB10</f>
        <v>8840000</v>
      </c>
      <c r="K8" s="214">
        <f>'Projects in LTP &amp; DCs'!L10</f>
        <v>0.9</v>
      </c>
      <c r="L8" s="210">
        <f t="shared" si="4"/>
        <v>7956000</v>
      </c>
      <c r="M8" s="214">
        <f>'Projects in LTP &amp; DCs'!M10</f>
        <v>0</v>
      </c>
      <c r="N8" s="214">
        <f>'Projects in LTP &amp; DCs'!N10</f>
        <v>0</v>
      </c>
      <c r="O8" s="214">
        <f t="shared" ref="O8:O10" si="5">(M8+N8)/2</f>
        <v>0</v>
      </c>
      <c r="P8" s="214">
        <f t="shared" si="2"/>
        <v>9.9999999999999978E-2</v>
      </c>
      <c r="Q8" s="212">
        <f>IF($G8="Yes",IF(AND(Q$4&gt;=$H8,Q$4&lt;=$I8),$J8/($I8-$H8+1),0),IF(Q$4&lt;2035,'Projects in LTP &amp; DCs'!R10,0))</f>
        <v>0</v>
      </c>
      <c r="R8" s="212">
        <f>IF($G8="Yes",IF(AND(R$4&gt;=$H8,R$4&lt;=$I8),$J8/($I8-$H8+1),0),IF(R$4&lt;2035,'Projects in LTP &amp; DCs'!S10,0))</f>
        <v>0</v>
      </c>
      <c r="S8" s="212">
        <f>IF($G8="Yes",IF(AND(S$4&gt;=$H8,S$4&lt;=$I8),$J8/($I8-$H8+1),0),IF(S$4&lt;2035,'Projects in LTP &amp; DCs'!T10,0))</f>
        <v>0</v>
      </c>
      <c r="T8" s="212">
        <f>IF($G8="Yes",IF(AND(T$4&gt;=$H8,T$4&lt;=$I8),$J8/($I8-$H8+1),0),IF(T$4&lt;2035,'Projects in LTP &amp; DCs'!U10,0))</f>
        <v>0</v>
      </c>
      <c r="U8" s="212">
        <f>IF($G8="Yes",IF(AND(U$4&gt;=$H8,U$4&lt;=$I8),$J8/($I8-$H8+1),0),IF(U$4&lt;2035,'Projects in LTP &amp; DCs'!V10,0))</f>
        <v>4420000</v>
      </c>
      <c r="V8" s="212">
        <f>IF($G8="Yes",IF(AND(V$4&gt;=$H8,V$4&lt;=$I8),$J8/($I8-$H8+1),0),IF(V$4&lt;2035,'Projects in LTP &amp; DCs'!W10,0))</f>
        <v>4420000</v>
      </c>
      <c r="W8" s="212">
        <f>IF($G8="Yes",IF(AND(W$4&gt;=$H8,W$4&lt;=$I8),$J8/($I8-$H8+1),0),IF(W$4&lt;2035,'Projects in LTP &amp; DCs'!X10,0))</f>
        <v>0</v>
      </c>
      <c r="X8" s="212">
        <f>IF($G8="Yes",IF(AND(X$4&gt;=$H8,X$4&lt;=$I8),$J8/($I8-$H8+1),0),IF(X$4&lt;2035,'Projects in LTP &amp; DCs'!Y10,0))</f>
        <v>0</v>
      </c>
      <c r="Y8" s="212">
        <f>IF($G8="Yes",IF(AND(Y$4&gt;=$H8,Y$4&lt;=$I8),$J8/($I8-$H8+1),0),IF(Y$4&lt;2035,'Projects in LTP &amp; DCs'!Z10,0))</f>
        <v>0</v>
      </c>
      <c r="Z8" s="212">
        <f>IF($G8="Yes",IF(AND(Z$4&gt;=$H8,Z$4&lt;=$I8),$J8/($I8-$H8+1),0),IF(Z$4&lt;2035,'Projects in LTP &amp; DCs'!AA10,0))</f>
        <v>0</v>
      </c>
      <c r="AA8" s="212">
        <f>IF($G8="Yes",IF(AND(AA$4&gt;=$H8,AA$4&lt;=$I8),$J8/($I8-$H8+1),0),IF(AA$4&lt;2035,'Projects in LTP &amp; DCs'!AB10,0))</f>
        <v>0</v>
      </c>
      <c r="AB8" s="212">
        <f>IF($G8="Yes",IF(AND(AB$4&gt;=$H8,AB$4&lt;=$I8),$J8/($I8-$H8+1),0),IF(AB$4&lt;2035,'Projects in LTP &amp; DCs'!AC10,0))</f>
        <v>0</v>
      </c>
      <c r="AC8" s="212">
        <f>IF($G8="Yes",IF(AND(AC$4&gt;=$H8,AC$4&lt;=$I8),$J8/($I8-$H8+1),0),IF(AC$4&lt;2035,'Projects in LTP &amp; DCs'!AD10,0))</f>
        <v>0</v>
      </c>
      <c r="AD8" s="212">
        <f>IF($G8="Yes",IF(AND(AD$4&gt;=$H8,AD$4&lt;=$I8),$J8/($I8-$H8+1),0),IF(AD$4&lt;2035,'Projects in LTP &amp; DCs'!AE10,0))</f>
        <v>0</v>
      </c>
      <c r="AE8" s="212">
        <f>IF($G8="Yes",IF(AND(AE$4&gt;=$H8,AE$4&lt;=$I8),$J8/($I8-$H8+1),0),IF(AE$4&lt;2035,'Projects in LTP &amp; DCs'!AF10,0))</f>
        <v>0</v>
      </c>
      <c r="AF8" s="212">
        <f>IF($G8="Yes",IF(AND(AF$4&gt;=$H8,AF$4&lt;=$I8),$J8/($I8-$H8+1),0),IF(AF$4&lt;2035,'Projects in LTP &amp; DCs'!AG10,0))</f>
        <v>0</v>
      </c>
      <c r="AG8" s="212">
        <f>IF($G8="Yes",IF(AND(AG$4&gt;=$H8,AG$4&lt;=$I8),$J8/($I8-$H8+1),0),IF(AG$4&lt;2035,'Projects in LTP &amp; DCs'!AH10,0))</f>
        <v>0</v>
      </c>
      <c r="AH8" s="212">
        <f>IF($G8="Yes",IF(AND(AH$4&gt;=$H8,AH$4&lt;=$I8),$J8/($I8-$H8+1),0),IF(AH$4&lt;2035,'Projects in LTP &amp; DCs'!AI10,0))</f>
        <v>0</v>
      </c>
      <c r="AI8" s="212">
        <f>IF($G8="Yes",IF(AND(AI$4&gt;=$H8,AI$4&lt;=$I8),$J8/($I8-$H8+1),0),IF(AI$4&lt;2035,'Projects in LTP &amp; DCs'!AJ10,0))</f>
        <v>0</v>
      </c>
      <c r="AJ8" s="212">
        <f>IF($G8="Yes",IF(AND(AJ$4&gt;=$H8,AJ$4&lt;=$I8),$J8/($I8-$H8+1),0),IF(AJ$4&lt;2035,'Projects in LTP &amp; DCs'!AK10,0))</f>
        <v>0</v>
      </c>
      <c r="AK8" s="212">
        <f>IF($G8="Yes",IF(AND(AK$4&gt;=$H8,AK$4&lt;=$I8),$J8/($I8-$H8+1),0),IF(AK$4&lt;2035,'Projects in LTP &amp; DCs'!AL10,0))</f>
        <v>0</v>
      </c>
      <c r="AL8" s="212">
        <f>IF($G8="Yes",IF(AND(AL$4&gt;=$H8,AL$4&lt;=$I8),$J8/($I8-$H8+1),0),IF(AL$4&lt;2035,'Projects in LTP &amp; DCs'!AM10,0))</f>
        <v>0</v>
      </c>
      <c r="AM8" s="212">
        <f>IF($G8="Yes",IF(AND(AM$4&gt;=$H8,AM$4&lt;=$I8),$J8/($I8-$H8+1),0),IF(AM$4&lt;2035,'Projects in LTP &amp; DCs'!AN10,0))</f>
        <v>0</v>
      </c>
      <c r="AN8" s="212">
        <f>IF($G8="Yes",IF(AND(AN$4&gt;=$H8,AN$4&lt;=$I8),$J8/($I8-$H8+1),0),IF(AN$4&lt;2035,'Projects in LTP &amp; DCs'!AO10,0))</f>
        <v>0</v>
      </c>
      <c r="AO8" s="212">
        <f>IF($G8="Yes",IF(AND(AO$4&gt;=$H8,AO$4&lt;=$I8),$J8/($I8-$H8+1),0),IF(AO$4&lt;2035,'Projects in LTP &amp; DCs'!AP10,0))</f>
        <v>0</v>
      </c>
      <c r="AP8" s="212">
        <f>IF($G8="Yes",IF(AND(AP$4&gt;=$H8,AP$4&lt;=$I8),$J8/($I8-$H8+1),0),IF(AP$4&lt;2035,'Projects in LTP &amp; DCs'!AQ10,0))</f>
        <v>0</v>
      </c>
      <c r="AQ8" s="212">
        <f>IF($G8="Yes",IF(AND(AQ$4&gt;=$H8,AQ$4&lt;=$I8),$J8/($I8-$H8+1),0),IF(AQ$4&lt;2035,'Projects in LTP &amp; DCs'!AR10,0))</f>
        <v>0</v>
      </c>
      <c r="AR8" s="212">
        <f>IF($G8="Yes",IF(AND(AR$4&gt;=$H8,AR$4&lt;=$I8),$J8/($I8-$H8+1),0),IF(AR$4&lt;2035,'Projects in LTP &amp; DCs'!AS10,0))</f>
        <v>0</v>
      </c>
      <c r="AS8" s="212">
        <f>IF($G8="Yes",IF(AND(AS$4&gt;=$H8,AS$4&lt;=$I8),$J8/($I8-$H8+1),0),IF(AS$4&lt;2035,'Projects in LTP &amp; DCs'!AT10,0))</f>
        <v>0</v>
      </c>
      <c r="AT8" s="212"/>
      <c r="AU8" s="215">
        <f t="shared" si="3"/>
        <v>8840000</v>
      </c>
      <c r="AV8" s="211" t="s">
        <v>259</v>
      </c>
    </row>
    <row r="9" spans="1:53" s="210" customFormat="1" ht="28.8" x14ac:dyDescent="0.3">
      <c r="A9" s="210" t="str">
        <f>'Projects in LTP &amp; DCs'!A11</f>
        <v>Stormwater</v>
      </c>
      <c r="B9" s="210" t="str">
        <f>'Projects in LTP &amp; DCs'!B11</f>
        <v>N.010940</v>
      </c>
      <c r="C9" s="210">
        <f>'Projects in LTP &amp; DCs'!C11</f>
        <v>33249</v>
      </c>
      <c r="D9" s="210" t="str">
        <f>'Projects in LTP &amp; DCs'!D11</f>
        <v>CPT: Boundary Reserve In-stream and Wastewater Diversion (part KO)</v>
      </c>
      <c r="E9" s="210" t="s">
        <v>110</v>
      </c>
      <c r="F9" s="210" t="str">
        <f>'Projects in LTP &amp; DCs'!G11</f>
        <v>Yes</v>
      </c>
      <c r="G9" s="210" t="s">
        <v>108</v>
      </c>
      <c r="H9" s="210">
        <v>2025</v>
      </c>
      <c r="I9" s="210">
        <v>2025</v>
      </c>
      <c r="J9" s="212">
        <f>'Projects in LTP &amp; DCs'!AB11+'Projects in LTP &amp; DCs'!AB12</f>
        <v>0</v>
      </c>
      <c r="K9" s="214">
        <f>'Projects in LTP &amp; DCs'!L11</f>
        <v>0.1</v>
      </c>
      <c r="L9" s="210">
        <f t="shared" si="4"/>
        <v>0</v>
      </c>
      <c r="M9" s="214">
        <f>'Projects in LTP &amp; DCs'!M11</f>
        <v>0.8</v>
      </c>
      <c r="N9" s="214">
        <f>'Projects in LTP &amp; DCs'!N11</f>
        <v>0.8</v>
      </c>
      <c r="O9" s="214">
        <f t="shared" si="5"/>
        <v>0.8</v>
      </c>
      <c r="P9" s="214">
        <f t="shared" si="2"/>
        <v>9.999999999999995E-2</v>
      </c>
      <c r="Q9" s="212">
        <f>IF($G9="Yes",IF(AND(Q$4&gt;=$H9,Q$4&lt;=$I9),$J9/($I9-$H9+1),0),IF(Q$4&lt;2035,'Projects in LTP &amp; DCs'!R11+'Projects in LTP &amp; DCs'!R12,0))</f>
        <v>0</v>
      </c>
      <c r="R9" s="212">
        <f>IF($G9="Yes",IF(AND(R$4&gt;=$H9,R$4&lt;=$I9),$J9/($I9-$H9+1),0),IF(R$4&lt;2035,'Projects in LTP &amp; DCs'!S11+'Projects in LTP &amp; DCs'!S12,0))</f>
        <v>0</v>
      </c>
      <c r="S9" s="212">
        <f>IF($G9="Yes",IF(AND(S$4&gt;=$H9,S$4&lt;=$I9),$J9/($I9-$H9+1),0),IF(S$4&lt;2035,'Projects in LTP &amp; DCs'!T11+'Projects in LTP &amp; DCs'!T12,0))</f>
        <v>0</v>
      </c>
      <c r="T9" s="212">
        <f>IF($G9="Yes",IF(AND(T$4&gt;=$H9,T$4&lt;=$I9),$J9/($I9-$H9+1),0),IF(T$4&lt;2035,'Projects in LTP &amp; DCs'!U11+'Projects in LTP &amp; DCs'!U12,0))</f>
        <v>0</v>
      </c>
      <c r="U9" s="212">
        <f>IF($G9="Yes",IF(AND(U$4&gt;=$H9,U$4&lt;=$I9),$J9/($I9-$H9+1),0),IF(U$4&lt;2035,'Projects in LTP &amp; DCs'!V11+'Projects in LTP &amp; DCs'!V12,0))</f>
        <v>0</v>
      </c>
      <c r="V9" s="212">
        <f>IF($G9="Yes",IF(AND(V$4&gt;=$H9,V$4&lt;=$I9),$J9/($I9-$H9+1),0),IF(V$4&lt;2035,'Projects in LTP &amp; DCs'!W11+'Projects in LTP &amp; DCs'!W12,0))</f>
        <v>0</v>
      </c>
      <c r="W9" s="212">
        <f>IF($G9="Yes",IF(AND(W$4&gt;=$H9,W$4&lt;=$I9),$J9/($I9-$H9+1),0),IF(W$4&lt;2035,'Projects in LTP &amp; DCs'!X11+'Projects in LTP &amp; DCs'!X12,0))</f>
        <v>0</v>
      </c>
      <c r="X9" s="212">
        <f>IF($G9="Yes",IF(AND(X$4&gt;=$H9,X$4&lt;=$I9),$J9/($I9-$H9+1),0),IF(X$4&lt;2035,'Projects in LTP &amp; DCs'!Y11+'Projects in LTP &amp; DCs'!Y12,0))</f>
        <v>0</v>
      </c>
      <c r="Y9" s="212">
        <f>IF($G9="Yes",IF(AND(Y$4&gt;=$H9,Y$4&lt;=$I9),$J9/($I9-$H9+1),0),IF(Y$4&lt;2035,'Projects in LTP &amp; DCs'!Z11+'Projects in LTP &amp; DCs'!Z12,0))</f>
        <v>0</v>
      </c>
      <c r="Z9" s="212">
        <f>IF($G9="Yes",IF(AND(Z$4&gt;=$H9,Z$4&lt;=$I9),$J9/($I9-$H9+1),0),IF(Z$4&lt;2035,'Projects in LTP &amp; DCs'!AA11+'Projects in LTP &amp; DCs'!AA12,0))</f>
        <v>0</v>
      </c>
      <c r="AA9" s="212">
        <f>IF($G9="Yes",IF(AND(AA$4&gt;=$H9,AA$4&lt;=$I9),$J9/($I9-$H9+1),0),IF(AA$4&lt;2035,'Projects in LTP &amp; DCs'!AB11+'Projects in LTP &amp; DCs'!AB12,0))</f>
        <v>0</v>
      </c>
      <c r="AB9" s="212">
        <f>IF($G9="Yes",IF(AND(AB$4&gt;=$H9,AB$4&lt;=$I9),$J9/($I9-$H9+1),0),IF(AB$4&lt;2035,'Projects in LTP &amp; DCs'!AC11+'Projects in LTP &amp; DCs'!AC12,0))</f>
        <v>0</v>
      </c>
      <c r="AC9" s="212">
        <f>IF($G9="Yes",IF(AND(AC$4&gt;=$H9,AC$4&lt;=$I9),$J9/($I9-$H9+1),0),IF(AC$4&lt;2035,'Projects in LTP &amp; DCs'!AD11+'Projects in LTP &amp; DCs'!AD12,0))</f>
        <v>0</v>
      </c>
      <c r="AD9" s="212">
        <f>IF($G9="Yes",IF(AND(AD$4&gt;=$H9,AD$4&lt;=$I9),$J9/($I9-$H9+1),0),IF(AD$4&lt;2035,'Projects in LTP &amp; DCs'!AE11+'Projects in LTP &amp; DCs'!AE12,0))</f>
        <v>0</v>
      </c>
      <c r="AE9" s="212">
        <f>IF($G9="Yes",IF(AND(AE$4&gt;=$H9,AE$4&lt;=$I9),$J9/($I9-$H9+1),0),IF(AE$4&lt;2035,'Projects in LTP &amp; DCs'!AF11+'Projects in LTP &amp; DCs'!AF12,0))</f>
        <v>0</v>
      </c>
      <c r="AF9" s="212">
        <f>IF($G9="Yes",IF(AND(AF$4&gt;=$H9,AF$4&lt;=$I9),$J9/($I9-$H9+1),0),IF(AF$4&lt;2035,'Projects in LTP &amp; DCs'!AG11+'Projects in LTP &amp; DCs'!AG12,0))</f>
        <v>0</v>
      </c>
      <c r="AG9" s="212">
        <f>IF($G9="Yes",IF(AND(AG$4&gt;=$H9,AG$4&lt;=$I9),$J9/($I9-$H9+1),0),IF(AG$4&lt;2035,'Projects in LTP &amp; DCs'!AH11+'Projects in LTP &amp; DCs'!AH12,0))</f>
        <v>0</v>
      </c>
      <c r="AH9" s="212">
        <f>IF($G9="Yes",IF(AND(AH$4&gt;=$H9,AH$4&lt;=$I9),$J9/($I9-$H9+1),0),IF(AH$4&lt;2035,'Projects in LTP &amp; DCs'!AI11+'Projects in LTP &amp; DCs'!AI12,0))</f>
        <v>0</v>
      </c>
      <c r="AI9" s="212">
        <f>IF($G9="Yes",IF(AND(AI$4&gt;=$H9,AI$4&lt;=$I9),$J9/($I9-$H9+1),0),IF(AI$4&lt;2035,'Projects in LTP &amp; DCs'!AJ11+'Projects in LTP &amp; DCs'!AJ12,0))</f>
        <v>0</v>
      </c>
      <c r="AJ9" s="212">
        <f>IF($G9="Yes",IF(AND(AJ$4&gt;=$H9,AJ$4&lt;=$I9),$J9/($I9-$H9+1),0),IF(AJ$4&lt;2035,'Projects in LTP &amp; DCs'!AK11+'Projects in LTP &amp; DCs'!AK12,0))</f>
        <v>0</v>
      </c>
      <c r="AK9" s="212">
        <f>IF($G9="Yes",IF(AND(AK$4&gt;=$H9,AK$4&lt;=$I9),$J9/($I9-$H9+1),0),IF(AK$4&lt;2035,'Projects in LTP &amp; DCs'!AL11+'Projects in LTP &amp; DCs'!AL12,0))</f>
        <v>0</v>
      </c>
      <c r="AL9" s="212">
        <f>IF($G9="Yes",IF(AND(AL$4&gt;=$H9,AL$4&lt;=$I9),$J9/($I9-$H9+1),0),IF(AL$4&lt;2035,'Projects in LTP &amp; DCs'!AM11+'Projects in LTP &amp; DCs'!AM12,0))</f>
        <v>0</v>
      </c>
      <c r="AM9" s="212">
        <f>IF($G9="Yes",IF(AND(AM$4&gt;=$H9,AM$4&lt;=$I9),$J9/($I9-$H9+1),0),IF(AM$4&lt;2035,'Projects in LTP &amp; DCs'!AN11+'Projects in LTP &amp; DCs'!AN12,0))</f>
        <v>0</v>
      </c>
      <c r="AN9" s="212">
        <f>IF($G9="Yes",IF(AND(AN$4&gt;=$H9,AN$4&lt;=$I9),$J9/($I9-$H9+1),0),IF(AN$4&lt;2035,'Projects in LTP &amp; DCs'!AO11+'Projects in LTP &amp; DCs'!AO12,0))</f>
        <v>0</v>
      </c>
      <c r="AO9" s="212">
        <f>IF($G9="Yes",IF(AND(AO$4&gt;=$H9,AO$4&lt;=$I9),$J9/($I9-$H9+1),0),IF(AO$4&lt;2035,'Projects in LTP &amp; DCs'!AP11+'Projects in LTP &amp; DCs'!AP12,0))</f>
        <v>0</v>
      </c>
      <c r="AP9" s="212">
        <f>IF($G9="Yes",IF(AND(AP$4&gt;=$H9,AP$4&lt;=$I9),$J9/($I9-$H9+1),0),IF(AP$4&lt;2035,'Projects in LTP &amp; DCs'!AQ11+'Projects in LTP &amp; DCs'!AQ12,0))</f>
        <v>0</v>
      </c>
      <c r="AQ9" s="212">
        <f>IF($G9="Yes",IF(AND(AQ$4&gt;=$H9,AQ$4&lt;=$I9),$J9/($I9-$H9+1),0),IF(AQ$4&lt;2035,'Projects in LTP &amp; DCs'!AR11+'Projects in LTP &amp; DCs'!AR12,0))</f>
        <v>0</v>
      </c>
      <c r="AR9" s="212">
        <f>IF($G9="Yes",IF(AND(AR$4&gt;=$H9,AR$4&lt;=$I9),$J9/($I9-$H9+1),0),IF(AR$4&lt;2035,'Projects in LTP &amp; DCs'!AS11+'Projects in LTP &amp; DCs'!AS12,0))</f>
        <v>0</v>
      </c>
      <c r="AS9" s="212">
        <f>IF($G9="Yes",IF(AND(AS$4&gt;=$H9,AS$4&lt;=$I9),$J9/($I9-$H9+1),0),IF(AS$4&lt;2035,'Projects in LTP &amp; DCs'!AT11+'Projects in LTP &amp; DCs'!AT12,0))</f>
        <v>0</v>
      </c>
      <c r="AT9" s="212"/>
      <c r="AU9" s="215">
        <f t="shared" si="3"/>
        <v>0</v>
      </c>
      <c r="AV9" s="211" t="s">
        <v>260</v>
      </c>
    </row>
    <row r="10" spans="1:53" s="210" customFormat="1" ht="72" x14ac:dyDescent="0.3">
      <c r="A10" s="210" t="str">
        <f>'Projects in LTP &amp; DCs'!A13</f>
        <v>Stormwater</v>
      </c>
      <c r="B10" s="210" t="str">
        <f>'Projects in LTP &amp; DCs'!B13</f>
        <v>N.011363</v>
      </c>
      <c r="C10" s="210">
        <f>'Projects in LTP &amp; DCs'!C13</f>
        <v>28281</v>
      </c>
      <c r="D10" s="210" t="str">
        <f>'Projects in LTP &amp; DCs'!D13</f>
        <v>Howard Hunter Tributary Erosion management [2542]</v>
      </c>
      <c r="E10" s="210" t="s">
        <v>110</v>
      </c>
      <c r="F10" s="210" t="str">
        <f>'Projects in LTP &amp; DCs'!G13</f>
        <v>Yes</v>
      </c>
      <c r="G10" s="210" t="s">
        <v>108</v>
      </c>
      <c r="H10" s="210">
        <v>2027</v>
      </c>
      <c r="I10" s="210">
        <v>2027</v>
      </c>
      <c r="J10" s="212">
        <f>'Projects in LTP &amp; DCs'!AB13</f>
        <v>1049000</v>
      </c>
      <c r="K10" s="214">
        <f>'Projects in LTP &amp; DCs'!L13</f>
        <v>0.1</v>
      </c>
      <c r="L10" s="210">
        <f t="shared" si="4"/>
        <v>104900</v>
      </c>
      <c r="M10" s="214">
        <f>'Projects in LTP &amp; DCs'!M13</f>
        <v>0.5</v>
      </c>
      <c r="N10" s="214">
        <f>'Projects in LTP &amp; DCs'!N13</f>
        <v>0.5</v>
      </c>
      <c r="O10" s="214">
        <f t="shared" si="5"/>
        <v>0.5</v>
      </c>
      <c r="P10" s="214">
        <f t="shared" si="2"/>
        <v>0.4</v>
      </c>
      <c r="Q10" s="212">
        <f>IF($G10="Yes",IF(AND(Q$4&gt;=$H10,Q$4&lt;=$I10),$J10/($I10-$H10+1),0),IF(Q$4&lt;2035,'Projects in LTP &amp; DCs'!R13,0))</f>
        <v>0</v>
      </c>
      <c r="R10" s="212">
        <f>IF($G10="Yes",IF(AND(R$4&gt;=$H10,R$4&lt;=$I10),$J10/($I10-$H10+1),0),IF(R$4&lt;2035,'Projects in LTP &amp; DCs'!S13,0))</f>
        <v>0</v>
      </c>
      <c r="S10" s="212">
        <f>IF($G10="Yes",IF(AND(S$4&gt;=$H10,S$4&lt;=$I10),$J10/($I10-$H10+1),0),IF(S$4&lt;2035,'Projects in LTP &amp; DCs'!T13,0))</f>
        <v>1049000</v>
      </c>
      <c r="T10" s="212">
        <f>IF($G10="Yes",IF(AND(T$4&gt;=$H10,T$4&lt;=$I10),$J10/($I10-$H10+1),0),IF(T$4&lt;2035,'Projects in LTP &amp; DCs'!U13,0))</f>
        <v>0</v>
      </c>
      <c r="U10" s="212">
        <f>IF($G10="Yes",IF(AND(U$4&gt;=$H10,U$4&lt;=$I10),$J10/($I10-$H10+1),0),IF(U$4&lt;2035,'Projects in LTP &amp; DCs'!V13,0))</f>
        <v>0</v>
      </c>
      <c r="V10" s="212">
        <f>IF($G10="Yes",IF(AND(V$4&gt;=$H10,V$4&lt;=$I10),$J10/($I10-$H10+1),0),IF(V$4&lt;2035,'Projects in LTP &amp; DCs'!W13,0))</f>
        <v>0</v>
      </c>
      <c r="W10" s="212">
        <f>IF($G10="Yes",IF(AND(W$4&gt;=$H10,W$4&lt;=$I10),$J10/($I10-$H10+1),0),IF(W$4&lt;2035,'Projects in LTP &amp; DCs'!X13,0))</f>
        <v>0</v>
      </c>
      <c r="X10" s="212">
        <f>IF($G10="Yes",IF(AND(X$4&gt;=$H10,X$4&lt;=$I10),$J10/($I10-$H10+1),0),IF(X$4&lt;2035,'Projects in LTP &amp; DCs'!Y13,0))</f>
        <v>0</v>
      </c>
      <c r="Y10" s="212">
        <f>IF($G10="Yes",IF(AND(Y$4&gt;=$H10,Y$4&lt;=$I10),$J10/($I10-$H10+1),0),IF(Y$4&lt;2035,'Projects in LTP &amp; DCs'!Z13,0))</f>
        <v>0</v>
      </c>
      <c r="Z10" s="212">
        <f>IF($G10="Yes",IF(AND(Z$4&gt;=$H10,Z$4&lt;=$I10),$J10/($I10-$H10+1),0),IF(Z$4&lt;2035,'Projects in LTP &amp; DCs'!AA13,0))</f>
        <v>0</v>
      </c>
      <c r="AA10" s="212">
        <f>IF($G10="Yes",IF(AND(AA$4&gt;=$H10,AA$4&lt;=$I10),$J10/($I10-$H10+1),0),IF(AA$4&lt;2035,'Projects in LTP &amp; DCs'!AB13,0))</f>
        <v>0</v>
      </c>
      <c r="AB10" s="212">
        <f>IF($G10="Yes",IF(AND(AB$4&gt;=$H10,AB$4&lt;=$I10),$J10/($I10-$H10+1),0),IF(AB$4&lt;2035,'Projects in LTP &amp; DCs'!AC13,0))</f>
        <v>0</v>
      </c>
      <c r="AC10" s="212">
        <f>IF($G10="Yes",IF(AND(AC$4&gt;=$H10,AC$4&lt;=$I10),$J10/($I10-$H10+1),0),IF(AC$4&lt;2035,'Projects in LTP &amp; DCs'!AD13,0))</f>
        <v>0</v>
      </c>
      <c r="AD10" s="212">
        <f>IF($G10="Yes",IF(AND(AD$4&gt;=$H10,AD$4&lt;=$I10),$J10/($I10-$H10+1),0),IF(AD$4&lt;2035,'Projects in LTP &amp; DCs'!AE13,0))</f>
        <v>0</v>
      </c>
      <c r="AE10" s="212">
        <f>IF($G10="Yes",IF(AND(AE$4&gt;=$H10,AE$4&lt;=$I10),$J10/($I10-$H10+1),0),IF(AE$4&lt;2035,'Projects in LTP &amp; DCs'!AF13,0))</f>
        <v>0</v>
      </c>
      <c r="AF10" s="212">
        <f>IF($G10="Yes",IF(AND(AF$4&gt;=$H10,AF$4&lt;=$I10),$J10/($I10-$H10+1),0),IF(AF$4&lt;2035,'Projects in LTP &amp; DCs'!AG13,0))</f>
        <v>0</v>
      </c>
      <c r="AG10" s="212">
        <f>IF($G10="Yes",IF(AND(AG$4&gt;=$H10,AG$4&lt;=$I10),$J10/($I10-$H10+1),0),IF(AG$4&lt;2035,'Projects in LTP &amp; DCs'!AH13,0))</f>
        <v>0</v>
      </c>
      <c r="AH10" s="212">
        <f>IF($G10="Yes",IF(AND(AH$4&gt;=$H10,AH$4&lt;=$I10),$J10/($I10-$H10+1),0),IF(AH$4&lt;2035,'Projects in LTP &amp; DCs'!AI13,0))</f>
        <v>0</v>
      </c>
      <c r="AI10" s="212">
        <f>IF($G10="Yes",IF(AND(AI$4&gt;=$H10,AI$4&lt;=$I10),$J10/($I10-$H10+1),0),IF(AI$4&lt;2035,'Projects in LTP &amp; DCs'!AJ13,0))</f>
        <v>0</v>
      </c>
      <c r="AJ10" s="212">
        <f>IF($G10="Yes",IF(AND(AJ$4&gt;=$H10,AJ$4&lt;=$I10),$J10/($I10-$H10+1),0),IF(AJ$4&lt;2035,'Projects in LTP &amp; DCs'!AK13,0))</f>
        <v>0</v>
      </c>
      <c r="AK10" s="212">
        <f>IF($G10="Yes",IF(AND(AK$4&gt;=$H10,AK$4&lt;=$I10),$J10/($I10-$H10+1),0),IF(AK$4&lt;2035,'Projects in LTP &amp; DCs'!AL13,0))</f>
        <v>0</v>
      </c>
      <c r="AL10" s="212">
        <f>IF($G10="Yes",IF(AND(AL$4&gt;=$H10,AL$4&lt;=$I10),$J10/($I10-$H10+1),0),IF(AL$4&lt;2035,'Projects in LTP &amp; DCs'!AM13,0))</f>
        <v>0</v>
      </c>
      <c r="AM10" s="212">
        <f>IF($G10="Yes",IF(AND(AM$4&gt;=$H10,AM$4&lt;=$I10),$J10/($I10-$H10+1),0),IF(AM$4&lt;2035,'Projects in LTP &amp; DCs'!AN13,0))</f>
        <v>0</v>
      </c>
      <c r="AN10" s="212">
        <f>IF($G10="Yes",IF(AND(AN$4&gt;=$H10,AN$4&lt;=$I10),$J10/($I10-$H10+1),0),IF(AN$4&lt;2035,'Projects in LTP &amp; DCs'!AO13,0))</f>
        <v>0</v>
      </c>
      <c r="AO10" s="212">
        <f>IF($G10="Yes",IF(AND(AO$4&gt;=$H10,AO$4&lt;=$I10),$J10/($I10-$H10+1),0),IF(AO$4&lt;2035,'Projects in LTP &amp; DCs'!AP13,0))</f>
        <v>0</v>
      </c>
      <c r="AP10" s="212">
        <f>IF($G10="Yes",IF(AND(AP$4&gt;=$H10,AP$4&lt;=$I10),$J10/($I10-$H10+1),0),IF(AP$4&lt;2035,'Projects in LTP &amp; DCs'!AQ13,0))</f>
        <v>0</v>
      </c>
      <c r="AQ10" s="212">
        <f>IF($G10="Yes",IF(AND(AQ$4&gt;=$H10,AQ$4&lt;=$I10),$J10/($I10-$H10+1),0),IF(AQ$4&lt;2035,'Projects in LTP &amp; DCs'!AR13,0))</f>
        <v>0</v>
      </c>
      <c r="AR10" s="212">
        <f>IF($G10="Yes",IF(AND(AR$4&gt;=$H10,AR$4&lt;=$I10),$J10/($I10-$H10+1),0),IF(AR$4&lt;2035,'Projects in LTP &amp; DCs'!AS13,0))</f>
        <v>0</v>
      </c>
      <c r="AS10" s="212">
        <f>IF($G10="Yes",IF(AND(AS$4&gt;=$H10,AS$4&lt;=$I10),$J10/($I10-$H10+1),0),IF(AS$4&lt;2035,'Projects in LTP &amp; DCs'!AT13,0))</f>
        <v>0</v>
      </c>
      <c r="AT10" s="212"/>
      <c r="AU10" s="215">
        <f t="shared" si="3"/>
        <v>1049000</v>
      </c>
      <c r="AV10" s="211" t="s">
        <v>203</v>
      </c>
    </row>
    <row r="11" spans="1:53" s="169" customFormat="1" x14ac:dyDescent="0.3"/>
    <row r="12" spans="1:53" s="166" customFormat="1" ht="18" x14ac:dyDescent="0.3">
      <c r="A12" s="165" t="s">
        <v>113</v>
      </c>
    </row>
    <row r="13" spans="1:53" x14ac:dyDescent="0.3">
      <c r="P13" s="170">
        <v>2024</v>
      </c>
      <c r="Q13" s="170">
        <v>2025</v>
      </c>
      <c r="R13" s="170">
        <v>2026</v>
      </c>
      <c r="S13" s="170">
        <v>2027</v>
      </c>
      <c r="T13" s="170">
        <v>2028</v>
      </c>
      <c r="U13" s="170">
        <v>2029</v>
      </c>
      <c r="V13" s="170">
        <v>2030</v>
      </c>
      <c r="W13" s="170">
        <v>2031</v>
      </c>
      <c r="X13" s="170">
        <v>2032</v>
      </c>
      <c r="Y13" s="170">
        <v>2033</v>
      </c>
      <c r="Z13" s="170">
        <v>2034</v>
      </c>
      <c r="AA13" s="170">
        <v>2035</v>
      </c>
      <c r="AB13" s="170">
        <v>2036</v>
      </c>
      <c r="AC13" s="170">
        <v>2037</v>
      </c>
      <c r="AD13" s="170">
        <v>2038</v>
      </c>
      <c r="AE13" s="170">
        <v>2039</v>
      </c>
      <c r="AF13" s="170">
        <v>2040</v>
      </c>
      <c r="AG13" s="170">
        <v>2041</v>
      </c>
      <c r="AH13" s="170">
        <v>2042</v>
      </c>
      <c r="AI13" s="170">
        <v>2043</v>
      </c>
      <c r="AJ13" s="170">
        <v>2044</v>
      </c>
      <c r="AK13" s="170">
        <v>2045</v>
      </c>
      <c r="AL13" s="170">
        <v>2046</v>
      </c>
      <c r="AM13" s="170">
        <v>2047</v>
      </c>
      <c r="AN13" s="170">
        <v>2048</v>
      </c>
      <c r="AO13" s="170">
        <v>2049</v>
      </c>
      <c r="AP13" s="170">
        <v>2050</v>
      </c>
      <c r="AQ13" s="170">
        <v>2051</v>
      </c>
      <c r="AR13" s="170">
        <v>2052</v>
      </c>
      <c r="AS13" s="170">
        <v>2053</v>
      </c>
      <c r="AT13" s="170"/>
      <c r="AU13" s="170">
        <v>2054</v>
      </c>
      <c r="AV13" s="170">
        <v>2055</v>
      </c>
      <c r="AW13" s="170">
        <v>2056</v>
      </c>
      <c r="AX13" s="170">
        <v>2057</v>
      </c>
      <c r="AY13" s="170">
        <v>2058</v>
      </c>
      <c r="AZ13" s="170">
        <v>2059</v>
      </c>
      <c r="BA13" s="170">
        <v>2060</v>
      </c>
    </row>
    <row r="14" spans="1:53" x14ac:dyDescent="0.3">
      <c r="N14" s="15" t="s">
        <v>114</v>
      </c>
      <c r="P14" s="171">
        <v>0</v>
      </c>
      <c r="Q14" s="172">
        <v>3.2000000000000001E-2</v>
      </c>
      <c r="R14" s="172">
        <v>3.2000000000000001E-2</v>
      </c>
      <c r="S14" s="172">
        <v>3.1E-2</v>
      </c>
      <c r="T14" s="171">
        <v>3.1E-2</v>
      </c>
      <c r="U14" s="171">
        <v>3.1E-2</v>
      </c>
      <c r="V14" s="171">
        <v>3.1E-2</v>
      </c>
      <c r="W14" s="171">
        <v>3.1E-2</v>
      </c>
      <c r="X14" s="171">
        <v>3.1E-2</v>
      </c>
      <c r="Y14" s="171">
        <v>3.1E-2</v>
      </c>
      <c r="Z14" s="171">
        <v>3.1E-2</v>
      </c>
      <c r="AA14" s="171">
        <v>3.1E-2</v>
      </c>
      <c r="AB14" s="171">
        <v>3.1E-2</v>
      </c>
      <c r="AC14" s="171">
        <v>3.1E-2</v>
      </c>
      <c r="AD14" s="171">
        <v>3.1E-2</v>
      </c>
      <c r="AE14" s="171">
        <v>3.1E-2</v>
      </c>
      <c r="AF14" s="171">
        <v>3.1E-2</v>
      </c>
      <c r="AG14" s="171">
        <v>3.1E-2</v>
      </c>
      <c r="AH14" s="171">
        <v>3.1E-2</v>
      </c>
      <c r="AI14" s="171">
        <v>3.1E-2</v>
      </c>
      <c r="AJ14" s="171">
        <v>3.1E-2</v>
      </c>
      <c r="AK14" s="171">
        <v>3.1E-2</v>
      </c>
      <c r="AL14" s="171">
        <v>3.1E-2</v>
      </c>
      <c r="AM14" s="171">
        <v>3.1E-2</v>
      </c>
      <c r="AN14" s="171">
        <v>3.1E-2</v>
      </c>
      <c r="AO14" s="171">
        <v>3.1E-2</v>
      </c>
      <c r="AP14" s="171">
        <v>3.1E-2</v>
      </c>
      <c r="AQ14" s="171">
        <v>3.1E-2</v>
      </c>
      <c r="AR14" s="171">
        <v>3.1E-2</v>
      </c>
      <c r="AS14" s="171">
        <v>3.1E-2</v>
      </c>
      <c r="AT14" s="171"/>
      <c r="AU14" s="171">
        <v>3.1E-2</v>
      </c>
      <c r="AV14" s="171">
        <v>3.1E-2</v>
      </c>
      <c r="AW14" s="171">
        <v>3.1E-2</v>
      </c>
      <c r="AX14" s="171">
        <v>3.1E-2</v>
      </c>
      <c r="AY14" s="171">
        <v>3.1E-2</v>
      </c>
      <c r="AZ14" s="171">
        <v>3.1E-2</v>
      </c>
      <c r="BA14" s="171">
        <v>3.1E-2</v>
      </c>
    </row>
    <row r="15" spans="1:53" x14ac:dyDescent="0.3">
      <c r="N15" s="15" t="s">
        <v>115</v>
      </c>
      <c r="P15" s="15">
        <v>1</v>
      </c>
      <c r="Q15" s="173">
        <f>+P15*(1+Q14)</f>
        <v>1.032</v>
      </c>
      <c r="R15" s="173">
        <f t="shared" ref="R15:BA15" si="6">+Q15*(1+R14)</f>
        <v>1.065024</v>
      </c>
      <c r="S15" s="173">
        <f t="shared" si="6"/>
        <v>1.0980397439999998</v>
      </c>
      <c r="T15" s="173">
        <f t="shared" si="6"/>
        <v>1.1320789760639998</v>
      </c>
      <c r="U15" s="173">
        <f t="shared" si="6"/>
        <v>1.1671734243219836</v>
      </c>
      <c r="V15" s="173">
        <f t="shared" si="6"/>
        <v>1.203355800475965</v>
      </c>
      <c r="W15" s="173">
        <f t="shared" si="6"/>
        <v>1.2406598302907199</v>
      </c>
      <c r="X15" s="173">
        <f t="shared" si="6"/>
        <v>1.2791202850297321</v>
      </c>
      <c r="Y15" s="173">
        <f t="shared" si="6"/>
        <v>1.3187730138656537</v>
      </c>
      <c r="Z15" s="173">
        <f t="shared" si="6"/>
        <v>1.3596549772954889</v>
      </c>
      <c r="AA15" s="173">
        <f t="shared" si="6"/>
        <v>1.4018042815916489</v>
      </c>
      <c r="AB15" s="173">
        <f t="shared" si="6"/>
        <v>1.4452602143209898</v>
      </c>
      <c r="AC15" s="173">
        <f t="shared" si="6"/>
        <v>1.4900632809649403</v>
      </c>
      <c r="AD15" s="173">
        <f t="shared" si="6"/>
        <v>1.5362552426748535</v>
      </c>
      <c r="AE15" s="173">
        <f t="shared" si="6"/>
        <v>1.5838791551977738</v>
      </c>
      <c r="AF15" s="173">
        <f t="shared" si="6"/>
        <v>1.6329794090089047</v>
      </c>
      <c r="AG15" s="173">
        <f t="shared" si="6"/>
        <v>1.6836017706881805</v>
      </c>
      <c r="AH15" s="173">
        <f t="shared" si="6"/>
        <v>1.735793425579514</v>
      </c>
      <c r="AI15" s="173">
        <f t="shared" si="6"/>
        <v>1.7896030217724788</v>
      </c>
      <c r="AJ15" s="173">
        <f t="shared" si="6"/>
        <v>1.8450807154474254</v>
      </c>
      <c r="AK15" s="173">
        <f t="shared" si="6"/>
        <v>1.9022782176262953</v>
      </c>
      <c r="AL15" s="173">
        <f t="shared" si="6"/>
        <v>1.9612488423727104</v>
      </c>
      <c r="AM15" s="173">
        <f t="shared" si="6"/>
        <v>2.0220475564862643</v>
      </c>
      <c r="AN15" s="173">
        <f t="shared" si="6"/>
        <v>2.0847310307373386</v>
      </c>
      <c r="AO15" s="173">
        <f t="shared" si="6"/>
        <v>2.1493576926901961</v>
      </c>
      <c r="AP15" s="173">
        <f t="shared" si="6"/>
        <v>2.2159877811635917</v>
      </c>
      <c r="AQ15" s="173">
        <f t="shared" si="6"/>
        <v>2.2846834023796627</v>
      </c>
      <c r="AR15" s="173">
        <f t="shared" si="6"/>
        <v>2.3555085878534321</v>
      </c>
      <c r="AS15" s="173">
        <f t="shared" si="6"/>
        <v>2.4285293540768884</v>
      </c>
      <c r="AT15" s="173"/>
      <c r="AU15" s="173">
        <f>+AS15*(1+AU14)</f>
        <v>2.5038137640532718</v>
      </c>
      <c r="AV15" s="173">
        <f t="shared" si="6"/>
        <v>2.5814319907389232</v>
      </c>
      <c r="AW15" s="173">
        <f t="shared" si="6"/>
        <v>2.6614563824518296</v>
      </c>
      <c r="AX15" s="173">
        <f t="shared" si="6"/>
        <v>2.743961530307836</v>
      </c>
      <c r="AY15" s="173">
        <f t="shared" si="6"/>
        <v>2.8290243377473785</v>
      </c>
      <c r="AZ15" s="173">
        <f t="shared" si="6"/>
        <v>2.9167240922175468</v>
      </c>
      <c r="BA15" s="173">
        <f t="shared" si="6"/>
        <v>3.0071425390762907</v>
      </c>
    </row>
    <row r="16" spans="1:53" x14ac:dyDescent="0.3">
      <c r="AU16" s="174"/>
      <c r="AV16" s="174"/>
      <c r="AW16" s="174"/>
      <c r="AX16" s="174"/>
      <c r="AY16" s="174"/>
      <c r="AZ16" s="174"/>
      <c r="BA16" s="174"/>
    </row>
    <row r="17" spans="1:52" s="166" customFormat="1" ht="18" x14ac:dyDescent="0.3">
      <c r="A17" s="165" t="s">
        <v>116</v>
      </c>
      <c r="Q17" s="167" t="s">
        <v>117</v>
      </c>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5"/>
    </row>
    <row r="18" spans="1:52" s="39" customFormat="1" ht="44.25" customHeight="1" x14ac:dyDescent="0.3">
      <c r="A18" s="36" t="s">
        <v>90</v>
      </c>
      <c r="B18" s="36" t="s">
        <v>91</v>
      </c>
      <c r="C18" s="36" t="s">
        <v>92</v>
      </c>
      <c r="D18" s="36" t="s">
        <v>93</v>
      </c>
      <c r="E18" s="36" t="s">
        <v>94</v>
      </c>
      <c r="F18" s="36" t="s">
        <v>95</v>
      </c>
      <c r="G18" s="36" t="s">
        <v>96</v>
      </c>
      <c r="H18" s="36" t="s">
        <v>97</v>
      </c>
      <c r="I18" s="36" t="s">
        <v>98</v>
      </c>
      <c r="J18" s="36" t="s">
        <v>99</v>
      </c>
      <c r="K18" s="36" t="s">
        <v>100</v>
      </c>
      <c r="L18" s="36" t="s">
        <v>118</v>
      </c>
      <c r="M18" s="37" t="s">
        <v>102</v>
      </c>
      <c r="N18" s="37" t="s">
        <v>103</v>
      </c>
      <c r="O18" s="36" t="s">
        <v>104</v>
      </c>
      <c r="P18" s="36" t="s">
        <v>105</v>
      </c>
      <c r="Q18" s="38">
        <v>2025</v>
      </c>
      <c r="R18" s="38">
        <v>2026</v>
      </c>
      <c r="S18" s="38">
        <v>2027</v>
      </c>
      <c r="T18" s="38">
        <v>2028</v>
      </c>
      <c r="U18" s="38">
        <v>2029</v>
      </c>
      <c r="V18" s="38">
        <v>2030</v>
      </c>
      <c r="W18" s="38">
        <v>2031</v>
      </c>
      <c r="X18" s="38">
        <v>2032</v>
      </c>
      <c r="Y18" s="38">
        <v>2033</v>
      </c>
      <c r="Z18" s="38">
        <v>2034</v>
      </c>
      <c r="AA18" s="38">
        <v>2035</v>
      </c>
      <c r="AB18" s="38">
        <v>2036</v>
      </c>
      <c r="AC18" s="38">
        <v>2037</v>
      </c>
      <c r="AD18" s="38">
        <v>2038</v>
      </c>
      <c r="AE18" s="38">
        <v>2039</v>
      </c>
      <c r="AF18" s="38">
        <v>2040</v>
      </c>
      <c r="AG18" s="38">
        <v>2041</v>
      </c>
      <c r="AH18" s="38">
        <v>2042</v>
      </c>
      <c r="AI18" s="38">
        <v>2043</v>
      </c>
      <c r="AJ18" s="38">
        <v>2044</v>
      </c>
      <c r="AK18" s="38">
        <v>2045</v>
      </c>
      <c r="AL18" s="38">
        <v>2046</v>
      </c>
      <c r="AM18" s="38">
        <v>2047</v>
      </c>
      <c r="AN18" s="38">
        <v>2048</v>
      </c>
      <c r="AO18" s="38">
        <v>2049</v>
      </c>
      <c r="AP18" s="38">
        <v>2050</v>
      </c>
      <c r="AQ18" s="38">
        <v>2051</v>
      </c>
      <c r="AR18" s="38">
        <v>2052</v>
      </c>
      <c r="AS18" s="38">
        <v>2053</v>
      </c>
      <c r="AT18" s="38">
        <v>2054</v>
      </c>
      <c r="AU18" s="38" t="s">
        <v>251</v>
      </c>
      <c r="AV18" s="38" t="s">
        <v>258</v>
      </c>
      <c r="AW18" s="39" t="s">
        <v>252</v>
      </c>
      <c r="AX18" s="39" t="s">
        <v>267</v>
      </c>
      <c r="AY18" s="39" t="s">
        <v>279</v>
      </c>
      <c r="AZ18" s="39" t="s">
        <v>48</v>
      </c>
    </row>
    <row r="19" spans="1:52" s="233" customFormat="1" ht="57.6" x14ac:dyDescent="0.3">
      <c r="A19" s="233" t="str">
        <f t="shared" ref="A19:I19" si="7">A5</f>
        <v>PC3201409</v>
      </c>
      <c r="B19" s="233" t="str">
        <f t="shared" si="7"/>
        <v>N.009877.60</v>
      </c>
      <c r="C19" s="233">
        <f t="shared" si="7"/>
        <v>27311</v>
      </c>
      <c r="D19" s="233" t="str">
        <f t="shared" si="7"/>
        <v>CPT AHP: Maybury Reserve Integrated Stormwater(LTP)</v>
      </c>
      <c r="E19" s="233" t="str">
        <f t="shared" si="7"/>
        <v>To do</v>
      </c>
      <c r="F19" s="233" t="str">
        <f t="shared" si="7"/>
        <v>No</v>
      </c>
      <c r="G19" s="233" t="str">
        <f t="shared" si="7"/>
        <v>Yes</v>
      </c>
      <c r="H19" s="233">
        <f t="shared" si="7"/>
        <v>2028</v>
      </c>
      <c r="I19" s="233">
        <f t="shared" si="7"/>
        <v>2029</v>
      </c>
      <c r="J19" s="222">
        <f>AU19</f>
        <v>30860739.270079486</v>
      </c>
      <c r="K19" s="238">
        <f>K5</f>
        <v>0</v>
      </c>
      <c r="L19" s="239">
        <f t="shared" ref="L19:L24" si="8">K19*AU19</f>
        <v>0</v>
      </c>
      <c r="M19" s="240">
        <f t="shared" ref="M19:P20" si="9">M5</f>
        <v>0.95</v>
      </c>
      <c r="N19" s="240">
        <f t="shared" si="9"/>
        <v>0.95</v>
      </c>
      <c r="O19" s="240">
        <f t="shared" si="9"/>
        <v>0.95</v>
      </c>
      <c r="P19" s="240">
        <f t="shared" si="9"/>
        <v>5.0000000000000044E-2</v>
      </c>
      <c r="Q19" s="239">
        <f t="shared" ref="Q19:AS19" si="10">Q5*Q$15</f>
        <v>0</v>
      </c>
      <c r="R19" s="239">
        <f t="shared" si="10"/>
        <v>0</v>
      </c>
      <c r="S19" s="239">
        <f t="shared" si="10"/>
        <v>0</v>
      </c>
      <c r="T19" s="239">
        <f t="shared" si="10"/>
        <v>0</v>
      </c>
      <c r="U19" s="239">
        <f t="shared" si="10"/>
        <v>0</v>
      </c>
      <c r="V19" s="239">
        <f t="shared" si="10"/>
        <v>0</v>
      </c>
      <c r="W19" s="239">
        <f t="shared" si="10"/>
        <v>0</v>
      </c>
      <c r="X19" s="239">
        <f t="shared" si="10"/>
        <v>0</v>
      </c>
      <c r="Y19" s="239">
        <f t="shared" si="10"/>
        <v>0</v>
      </c>
      <c r="Z19" s="239">
        <f t="shared" si="10"/>
        <v>0</v>
      </c>
      <c r="AA19" s="239">
        <f t="shared" si="10"/>
        <v>2866129.0341422856</v>
      </c>
      <c r="AB19" s="239">
        <f t="shared" si="10"/>
        <v>2954979.0342006958</v>
      </c>
      <c r="AC19" s="239">
        <f t="shared" si="10"/>
        <v>9139750.1527827512</v>
      </c>
      <c r="AD19" s="239">
        <f t="shared" si="10"/>
        <v>9423082.4075190164</v>
      </c>
      <c r="AE19" s="239">
        <f t="shared" si="10"/>
        <v>6476798.6414347365</v>
      </c>
      <c r="AF19" s="239">
        <f t="shared" si="10"/>
        <v>0</v>
      </c>
      <c r="AG19" s="239">
        <f t="shared" si="10"/>
        <v>0</v>
      </c>
      <c r="AH19" s="239">
        <f t="shared" si="10"/>
        <v>0</v>
      </c>
      <c r="AI19" s="239">
        <f t="shared" si="10"/>
        <v>0</v>
      </c>
      <c r="AJ19" s="239">
        <f t="shared" si="10"/>
        <v>0</v>
      </c>
      <c r="AK19" s="239">
        <f t="shared" si="10"/>
        <v>0</v>
      </c>
      <c r="AL19" s="239">
        <f t="shared" si="10"/>
        <v>0</v>
      </c>
      <c r="AM19" s="239">
        <f t="shared" si="10"/>
        <v>0</v>
      </c>
      <c r="AN19" s="239">
        <f t="shared" si="10"/>
        <v>0</v>
      </c>
      <c r="AO19" s="239">
        <f t="shared" si="10"/>
        <v>0</v>
      </c>
      <c r="AP19" s="239">
        <f t="shared" si="10"/>
        <v>0</v>
      </c>
      <c r="AQ19" s="239">
        <f t="shared" si="10"/>
        <v>0</v>
      </c>
      <c r="AR19" s="239">
        <f t="shared" si="10"/>
        <v>0</v>
      </c>
      <c r="AS19" s="239">
        <f t="shared" si="10"/>
        <v>0</v>
      </c>
      <c r="AT19" s="239"/>
      <c r="AU19" s="241">
        <f t="shared" ref="AU19" si="11">SUM(Q19:AS19)</f>
        <v>30860739.270079486</v>
      </c>
      <c r="AV19" s="242" t="s">
        <v>268</v>
      </c>
      <c r="AW19" s="239">
        <f>+AU19*O19</f>
        <v>29317702.306575511</v>
      </c>
      <c r="AX19" s="239">
        <f>+AU19-AW19</f>
        <v>1543036.9635039754</v>
      </c>
      <c r="AY19" s="239">
        <f>+AU19*P19</f>
        <v>1543036.9635039757</v>
      </c>
      <c r="AZ19" s="239">
        <f>+AU19*K19</f>
        <v>0</v>
      </c>
    </row>
    <row r="20" spans="1:52" s="233" customFormat="1" ht="57.6" x14ac:dyDescent="0.3">
      <c r="A20" s="233" t="str">
        <f t="shared" ref="A20:I20" si="12">A6</f>
        <v>Stormwater</v>
      </c>
      <c r="B20" s="233" t="str">
        <f t="shared" si="12"/>
        <v>N.011220</v>
      </c>
      <c r="C20" s="233">
        <f t="shared" si="12"/>
        <v>36368</v>
      </c>
      <c r="D20" s="233" t="str">
        <f t="shared" si="12"/>
        <v>Pilkington Road stormwater pipe upgrade and propriety device</v>
      </c>
      <c r="E20" s="233" t="str">
        <f t="shared" si="12"/>
        <v>To do</v>
      </c>
      <c r="F20" s="233" t="str">
        <f t="shared" si="12"/>
        <v>No</v>
      </c>
      <c r="G20" s="233" t="str">
        <f t="shared" si="12"/>
        <v>Yes</v>
      </c>
      <c r="H20" s="233">
        <f t="shared" si="12"/>
        <v>2031</v>
      </c>
      <c r="I20" s="233">
        <f t="shared" si="12"/>
        <v>2034</v>
      </c>
      <c r="J20" s="222">
        <f t="shared" ref="J20:J24" si="13">AU20</f>
        <v>23876669.385096587</v>
      </c>
      <c r="K20" s="240">
        <f>K6</f>
        <v>0.1</v>
      </c>
      <c r="L20" s="239">
        <f t="shared" si="8"/>
        <v>2387666.9385096589</v>
      </c>
      <c r="M20" s="240">
        <f t="shared" si="9"/>
        <v>0.6</v>
      </c>
      <c r="N20" s="240">
        <f t="shared" si="9"/>
        <v>0.6</v>
      </c>
      <c r="O20" s="240">
        <f t="shared" si="9"/>
        <v>0.6</v>
      </c>
      <c r="P20" s="240">
        <f t="shared" si="9"/>
        <v>0.30000000000000004</v>
      </c>
      <c r="Q20" s="239">
        <f t="shared" ref="Q20:AS20" si="14">Q6*Q$15</f>
        <v>0</v>
      </c>
      <c r="R20" s="239">
        <f t="shared" si="14"/>
        <v>0</v>
      </c>
      <c r="S20" s="239">
        <f t="shared" si="14"/>
        <v>0</v>
      </c>
      <c r="T20" s="239">
        <f t="shared" si="14"/>
        <v>0</v>
      </c>
      <c r="U20" s="239">
        <f t="shared" si="14"/>
        <v>0</v>
      </c>
      <c r="V20" s="239">
        <f t="shared" si="14"/>
        <v>0</v>
      </c>
      <c r="W20" s="239">
        <f t="shared" si="14"/>
        <v>5698660.7654828494</v>
      </c>
      <c r="X20" s="239">
        <f t="shared" si="14"/>
        <v>5875319.2492128173</v>
      </c>
      <c r="Y20" s="239">
        <f t="shared" si="14"/>
        <v>6057454.1459384141</v>
      </c>
      <c r="Z20" s="239">
        <f t="shared" si="14"/>
        <v>6245235.2244625045</v>
      </c>
      <c r="AA20" s="239">
        <f t="shared" si="14"/>
        <v>0</v>
      </c>
      <c r="AB20" s="239">
        <f t="shared" si="14"/>
        <v>0</v>
      </c>
      <c r="AC20" s="239">
        <f t="shared" si="14"/>
        <v>0</v>
      </c>
      <c r="AD20" s="239">
        <f t="shared" si="14"/>
        <v>0</v>
      </c>
      <c r="AE20" s="239">
        <f t="shared" si="14"/>
        <v>0</v>
      </c>
      <c r="AF20" s="239">
        <f t="shared" si="14"/>
        <v>0</v>
      </c>
      <c r="AG20" s="239">
        <f t="shared" si="14"/>
        <v>0</v>
      </c>
      <c r="AH20" s="239">
        <f t="shared" si="14"/>
        <v>0</v>
      </c>
      <c r="AI20" s="239">
        <f t="shared" si="14"/>
        <v>0</v>
      </c>
      <c r="AJ20" s="239">
        <f t="shared" si="14"/>
        <v>0</v>
      </c>
      <c r="AK20" s="239">
        <f t="shared" si="14"/>
        <v>0</v>
      </c>
      <c r="AL20" s="239">
        <f t="shared" si="14"/>
        <v>0</v>
      </c>
      <c r="AM20" s="239">
        <f t="shared" si="14"/>
        <v>0</v>
      </c>
      <c r="AN20" s="239">
        <f t="shared" si="14"/>
        <v>0</v>
      </c>
      <c r="AO20" s="239">
        <f t="shared" si="14"/>
        <v>0</v>
      </c>
      <c r="AP20" s="239">
        <f t="shared" si="14"/>
        <v>0</v>
      </c>
      <c r="AQ20" s="239">
        <f t="shared" si="14"/>
        <v>0</v>
      </c>
      <c r="AR20" s="239">
        <f t="shared" si="14"/>
        <v>0</v>
      </c>
      <c r="AS20" s="239">
        <f t="shared" si="14"/>
        <v>0</v>
      </c>
      <c r="AT20" s="239"/>
      <c r="AU20" s="241">
        <f t="shared" ref="AU20:AU24" si="15">SUM(Q20:AS20)</f>
        <v>23876669.385096587</v>
      </c>
      <c r="AV20" s="242" t="s">
        <v>268</v>
      </c>
      <c r="AW20" s="239">
        <f t="shared" ref="AW20:AW24" si="16">+AU20*O20</f>
        <v>14326001.631057952</v>
      </c>
      <c r="AX20" s="239">
        <f t="shared" ref="AX20:AX24" si="17">+AU20-AW20</f>
        <v>9550667.7540386356</v>
      </c>
      <c r="AY20" s="239">
        <f t="shared" ref="AY20:AY24" si="18">+AU20*P20</f>
        <v>7163000.8155289777</v>
      </c>
      <c r="AZ20" s="239">
        <f t="shared" ref="AZ20:AZ24" si="19">+AU20*K20</f>
        <v>2387666.9385096589</v>
      </c>
    </row>
    <row r="21" spans="1:52" s="221" customFormat="1" ht="57.6" x14ac:dyDescent="0.3">
      <c r="A21" s="221" t="str">
        <f t="shared" ref="A21:I21" si="20">A7</f>
        <v>Stormwater</v>
      </c>
      <c r="B21" s="221" t="str">
        <f t="shared" si="20"/>
        <v>N.010936</v>
      </c>
      <c r="C21" s="221">
        <f t="shared" si="20"/>
        <v>32114</v>
      </c>
      <c r="D21" s="221" t="str">
        <f t="shared" si="20"/>
        <v>Johnson Reserve Daylighting (Larsen Road)</v>
      </c>
      <c r="E21" s="221" t="str">
        <f t="shared" si="20"/>
        <v>To do</v>
      </c>
      <c r="F21" s="221" t="str">
        <f t="shared" si="20"/>
        <v>No</v>
      </c>
      <c r="G21" s="221" t="str">
        <f t="shared" si="20"/>
        <v>No</v>
      </c>
      <c r="H21" s="221">
        <f t="shared" si="20"/>
        <v>2024</v>
      </c>
      <c r="I21" s="221">
        <f t="shared" si="20"/>
        <v>2027</v>
      </c>
      <c r="J21" s="222">
        <f t="shared" si="13"/>
        <v>3608907.3597791996</v>
      </c>
      <c r="K21" s="177">
        <f t="shared" ref="K21:K24" si="21">K7</f>
        <v>0</v>
      </c>
      <c r="L21" s="222">
        <f t="shared" si="8"/>
        <v>0</v>
      </c>
      <c r="M21" s="178">
        <f t="shared" ref="M21:P24" si="22">M7</f>
        <v>0.6</v>
      </c>
      <c r="N21" s="178">
        <f t="shared" si="22"/>
        <v>0.6</v>
      </c>
      <c r="O21" s="178">
        <f t="shared" si="22"/>
        <v>0.6</v>
      </c>
      <c r="P21" s="178">
        <f t="shared" si="22"/>
        <v>0.4</v>
      </c>
      <c r="Q21" s="222">
        <f t="shared" ref="Q21:AS21" si="23">Q7*Q$15</f>
        <v>2064000</v>
      </c>
      <c r="R21" s="222">
        <f t="shared" si="23"/>
        <v>1278028.8</v>
      </c>
      <c r="S21" s="222">
        <f t="shared" si="23"/>
        <v>266878.55977919995</v>
      </c>
      <c r="T21" s="222">
        <f t="shared" si="23"/>
        <v>0</v>
      </c>
      <c r="U21" s="222">
        <f t="shared" si="23"/>
        <v>0</v>
      </c>
      <c r="V21" s="222">
        <f t="shared" si="23"/>
        <v>0</v>
      </c>
      <c r="W21" s="222">
        <f t="shared" si="23"/>
        <v>0</v>
      </c>
      <c r="X21" s="222">
        <f t="shared" si="23"/>
        <v>0</v>
      </c>
      <c r="Y21" s="222">
        <f t="shared" si="23"/>
        <v>0</v>
      </c>
      <c r="Z21" s="222">
        <f t="shared" si="23"/>
        <v>0</v>
      </c>
      <c r="AA21" s="222">
        <f t="shared" si="23"/>
        <v>0</v>
      </c>
      <c r="AB21" s="222">
        <f t="shared" si="23"/>
        <v>0</v>
      </c>
      <c r="AC21" s="222">
        <f t="shared" si="23"/>
        <v>0</v>
      </c>
      <c r="AD21" s="222">
        <f t="shared" si="23"/>
        <v>0</v>
      </c>
      <c r="AE21" s="222">
        <f t="shared" si="23"/>
        <v>0</v>
      </c>
      <c r="AF21" s="222">
        <f t="shared" si="23"/>
        <v>0</v>
      </c>
      <c r="AG21" s="222">
        <f t="shared" si="23"/>
        <v>0</v>
      </c>
      <c r="AH21" s="222">
        <f t="shared" si="23"/>
        <v>0</v>
      </c>
      <c r="AI21" s="222">
        <f t="shared" si="23"/>
        <v>0</v>
      </c>
      <c r="AJ21" s="222">
        <f t="shared" si="23"/>
        <v>0</v>
      </c>
      <c r="AK21" s="222">
        <f t="shared" si="23"/>
        <v>0</v>
      </c>
      <c r="AL21" s="222">
        <f t="shared" si="23"/>
        <v>0</v>
      </c>
      <c r="AM21" s="222">
        <f t="shared" si="23"/>
        <v>0</v>
      </c>
      <c r="AN21" s="222">
        <f t="shared" si="23"/>
        <v>0</v>
      </c>
      <c r="AO21" s="222">
        <f t="shared" si="23"/>
        <v>0</v>
      </c>
      <c r="AP21" s="222">
        <f t="shared" si="23"/>
        <v>0</v>
      </c>
      <c r="AQ21" s="222">
        <f t="shared" si="23"/>
        <v>0</v>
      </c>
      <c r="AR21" s="222">
        <f t="shared" si="23"/>
        <v>0</v>
      </c>
      <c r="AS21" s="222">
        <f t="shared" si="23"/>
        <v>0</v>
      </c>
      <c r="AT21" s="222"/>
      <c r="AU21" s="224">
        <f t="shared" si="15"/>
        <v>3608907.3597791996</v>
      </c>
      <c r="AV21" s="243" t="s">
        <v>268</v>
      </c>
      <c r="AW21" s="222">
        <f t="shared" si="16"/>
        <v>2165344.4158675196</v>
      </c>
      <c r="AX21" s="222">
        <f t="shared" si="17"/>
        <v>1443562.94391168</v>
      </c>
      <c r="AY21" s="222">
        <f t="shared" si="18"/>
        <v>1443562.94391168</v>
      </c>
      <c r="AZ21" s="222">
        <f t="shared" si="19"/>
        <v>0</v>
      </c>
    </row>
    <row r="22" spans="1:52" s="221" customFormat="1" ht="28.8" x14ac:dyDescent="0.3">
      <c r="A22" s="221" t="str">
        <f t="shared" ref="A22:I22" si="24">A8</f>
        <v>PC3201341</v>
      </c>
      <c r="B22" s="221" t="str">
        <f t="shared" si="24"/>
        <v>N.007102.60</v>
      </c>
      <c r="C22" s="221">
        <f t="shared" si="24"/>
        <v>15279</v>
      </c>
      <c r="D22" s="221" t="str">
        <f t="shared" si="24"/>
        <v>Point England Reserve Online SW Pond Renewal [2483]</v>
      </c>
      <c r="E22" s="221" t="str">
        <f t="shared" si="24"/>
        <v>To do</v>
      </c>
      <c r="F22" s="221" t="str">
        <f t="shared" si="24"/>
        <v>Yes</v>
      </c>
      <c r="G22" s="221" t="str">
        <f t="shared" si="24"/>
        <v>No</v>
      </c>
      <c r="H22" s="221">
        <f t="shared" si="24"/>
        <v>2029</v>
      </c>
      <c r="I22" s="221">
        <f t="shared" si="24"/>
        <v>2030</v>
      </c>
      <c r="J22" s="222">
        <f t="shared" si="13"/>
        <v>10477739.173606932</v>
      </c>
      <c r="K22" s="177">
        <f t="shared" si="21"/>
        <v>0.9</v>
      </c>
      <c r="L22" s="222">
        <f t="shared" si="8"/>
        <v>9429965.2562462389</v>
      </c>
      <c r="M22" s="178">
        <f t="shared" si="22"/>
        <v>0</v>
      </c>
      <c r="N22" s="178">
        <f t="shared" si="22"/>
        <v>0</v>
      </c>
      <c r="O22" s="178">
        <f t="shared" si="22"/>
        <v>0</v>
      </c>
      <c r="P22" s="178">
        <f t="shared" si="22"/>
        <v>9.9999999999999978E-2</v>
      </c>
      <c r="Q22" s="222">
        <f t="shared" ref="Q22:AS22" si="25">Q8*Q$15</f>
        <v>0</v>
      </c>
      <c r="R22" s="222">
        <f t="shared" si="25"/>
        <v>0</v>
      </c>
      <c r="S22" s="222">
        <f t="shared" si="25"/>
        <v>0</v>
      </c>
      <c r="T22" s="222">
        <f t="shared" si="25"/>
        <v>0</v>
      </c>
      <c r="U22" s="222">
        <f t="shared" si="25"/>
        <v>5158906.5355031677</v>
      </c>
      <c r="V22" s="222">
        <f t="shared" si="25"/>
        <v>5318832.6381037654</v>
      </c>
      <c r="W22" s="222">
        <f t="shared" si="25"/>
        <v>0</v>
      </c>
      <c r="X22" s="222">
        <f t="shared" si="25"/>
        <v>0</v>
      </c>
      <c r="Y22" s="222">
        <f t="shared" si="25"/>
        <v>0</v>
      </c>
      <c r="Z22" s="222">
        <f t="shared" si="25"/>
        <v>0</v>
      </c>
      <c r="AA22" s="222">
        <f t="shared" si="25"/>
        <v>0</v>
      </c>
      <c r="AB22" s="222">
        <f t="shared" si="25"/>
        <v>0</v>
      </c>
      <c r="AC22" s="222">
        <f t="shared" si="25"/>
        <v>0</v>
      </c>
      <c r="AD22" s="222">
        <f t="shared" si="25"/>
        <v>0</v>
      </c>
      <c r="AE22" s="222">
        <f t="shared" si="25"/>
        <v>0</v>
      </c>
      <c r="AF22" s="222">
        <f t="shared" si="25"/>
        <v>0</v>
      </c>
      <c r="AG22" s="222">
        <f t="shared" si="25"/>
        <v>0</v>
      </c>
      <c r="AH22" s="222">
        <f t="shared" si="25"/>
        <v>0</v>
      </c>
      <c r="AI22" s="222">
        <f t="shared" si="25"/>
        <v>0</v>
      </c>
      <c r="AJ22" s="222">
        <f t="shared" si="25"/>
        <v>0</v>
      </c>
      <c r="AK22" s="222">
        <f t="shared" si="25"/>
        <v>0</v>
      </c>
      <c r="AL22" s="222">
        <f t="shared" si="25"/>
        <v>0</v>
      </c>
      <c r="AM22" s="222">
        <f t="shared" si="25"/>
        <v>0</v>
      </c>
      <c r="AN22" s="222">
        <f t="shared" si="25"/>
        <v>0</v>
      </c>
      <c r="AO22" s="222">
        <f t="shared" si="25"/>
        <v>0</v>
      </c>
      <c r="AP22" s="222">
        <f t="shared" si="25"/>
        <v>0</v>
      </c>
      <c r="AQ22" s="222">
        <f t="shared" si="25"/>
        <v>0</v>
      </c>
      <c r="AR22" s="222">
        <f t="shared" si="25"/>
        <v>0</v>
      </c>
      <c r="AS22" s="222">
        <f t="shared" si="25"/>
        <v>0</v>
      </c>
      <c r="AT22" s="222"/>
      <c r="AU22" s="224">
        <f t="shared" si="15"/>
        <v>10477739.173606932</v>
      </c>
      <c r="AV22" s="243" t="s">
        <v>259</v>
      </c>
      <c r="AW22" s="222">
        <f t="shared" si="16"/>
        <v>0</v>
      </c>
      <c r="AX22" s="222">
        <f t="shared" si="17"/>
        <v>10477739.173606932</v>
      </c>
      <c r="AY22" s="222">
        <f t="shared" si="18"/>
        <v>1047773.917360693</v>
      </c>
      <c r="AZ22" s="222">
        <f t="shared" si="19"/>
        <v>9429965.2562462389</v>
      </c>
    </row>
    <row r="23" spans="1:52" s="221" customFormat="1" ht="36.75" customHeight="1" x14ac:dyDescent="0.3">
      <c r="A23" s="221" t="str">
        <f t="shared" ref="A23:I23" si="26">A9</f>
        <v>Stormwater</v>
      </c>
      <c r="B23" s="221" t="str">
        <f t="shared" si="26"/>
        <v>N.010940</v>
      </c>
      <c r="C23" s="221">
        <f t="shared" si="26"/>
        <v>33249</v>
      </c>
      <c r="D23" s="221" t="str">
        <f t="shared" si="26"/>
        <v>CPT: Boundary Reserve In-stream and Wastewater Diversion (part KO)</v>
      </c>
      <c r="E23" s="221" t="str">
        <f t="shared" si="26"/>
        <v>To do</v>
      </c>
      <c r="F23" s="221" t="str">
        <f t="shared" si="26"/>
        <v>Yes</v>
      </c>
      <c r="G23" s="221" t="str">
        <f t="shared" si="26"/>
        <v>No</v>
      </c>
      <c r="H23" s="221">
        <f t="shared" si="26"/>
        <v>2025</v>
      </c>
      <c r="I23" s="221">
        <f t="shared" si="26"/>
        <v>2025</v>
      </c>
      <c r="J23" s="222">
        <f t="shared" si="13"/>
        <v>0</v>
      </c>
      <c r="K23" s="177">
        <f t="shared" si="21"/>
        <v>0.1</v>
      </c>
      <c r="L23" s="222">
        <f t="shared" si="8"/>
        <v>0</v>
      </c>
      <c r="M23" s="178">
        <f t="shared" si="22"/>
        <v>0.8</v>
      </c>
      <c r="N23" s="178">
        <f t="shared" si="22"/>
        <v>0.8</v>
      </c>
      <c r="O23" s="178">
        <f t="shared" si="22"/>
        <v>0.8</v>
      </c>
      <c r="P23" s="178">
        <f t="shared" si="22"/>
        <v>9.999999999999995E-2</v>
      </c>
      <c r="Q23" s="222">
        <f t="shared" ref="Q23:AS23" si="27">Q9*Q$15</f>
        <v>0</v>
      </c>
      <c r="R23" s="222">
        <f t="shared" si="27"/>
        <v>0</v>
      </c>
      <c r="S23" s="222">
        <f t="shared" si="27"/>
        <v>0</v>
      </c>
      <c r="T23" s="222">
        <f t="shared" si="27"/>
        <v>0</v>
      </c>
      <c r="U23" s="222">
        <f t="shared" si="27"/>
        <v>0</v>
      </c>
      <c r="V23" s="222">
        <f t="shared" si="27"/>
        <v>0</v>
      </c>
      <c r="W23" s="222">
        <f t="shared" si="27"/>
        <v>0</v>
      </c>
      <c r="X23" s="222">
        <f t="shared" si="27"/>
        <v>0</v>
      </c>
      <c r="Y23" s="222">
        <f t="shared" si="27"/>
        <v>0</v>
      </c>
      <c r="Z23" s="222">
        <f t="shared" si="27"/>
        <v>0</v>
      </c>
      <c r="AA23" s="222">
        <f t="shared" si="27"/>
        <v>0</v>
      </c>
      <c r="AB23" s="222">
        <f t="shared" si="27"/>
        <v>0</v>
      </c>
      <c r="AC23" s="222">
        <f t="shared" si="27"/>
        <v>0</v>
      </c>
      <c r="AD23" s="222">
        <f t="shared" si="27"/>
        <v>0</v>
      </c>
      <c r="AE23" s="222">
        <f t="shared" si="27"/>
        <v>0</v>
      </c>
      <c r="AF23" s="222">
        <f t="shared" si="27"/>
        <v>0</v>
      </c>
      <c r="AG23" s="222">
        <f t="shared" si="27"/>
        <v>0</v>
      </c>
      <c r="AH23" s="222">
        <f t="shared" si="27"/>
        <v>0</v>
      </c>
      <c r="AI23" s="222">
        <f t="shared" si="27"/>
        <v>0</v>
      </c>
      <c r="AJ23" s="222">
        <f t="shared" si="27"/>
        <v>0</v>
      </c>
      <c r="AK23" s="222">
        <f t="shared" si="27"/>
        <v>0</v>
      </c>
      <c r="AL23" s="222">
        <f t="shared" si="27"/>
        <v>0</v>
      </c>
      <c r="AM23" s="222">
        <f t="shared" si="27"/>
        <v>0</v>
      </c>
      <c r="AN23" s="222">
        <f t="shared" si="27"/>
        <v>0</v>
      </c>
      <c r="AO23" s="222">
        <f t="shared" si="27"/>
        <v>0</v>
      </c>
      <c r="AP23" s="222">
        <f t="shared" si="27"/>
        <v>0</v>
      </c>
      <c r="AQ23" s="222">
        <f t="shared" si="27"/>
        <v>0</v>
      </c>
      <c r="AR23" s="222">
        <f t="shared" si="27"/>
        <v>0</v>
      </c>
      <c r="AS23" s="222">
        <f t="shared" si="27"/>
        <v>0</v>
      </c>
      <c r="AT23" s="222"/>
      <c r="AU23" s="224">
        <f t="shared" si="15"/>
        <v>0</v>
      </c>
      <c r="AV23" s="243" t="s">
        <v>260</v>
      </c>
      <c r="AW23" s="222">
        <f t="shared" si="16"/>
        <v>0</v>
      </c>
      <c r="AX23" s="222">
        <f t="shared" si="17"/>
        <v>0</v>
      </c>
      <c r="AY23" s="222">
        <f t="shared" si="18"/>
        <v>0</v>
      </c>
      <c r="AZ23" s="222">
        <f t="shared" si="19"/>
        <v>0</v>
      </c>
    </row>
    <row r="24" spans="1:52" s="221" customFormat="1" ht="33.75" customHeight="1" x14ac:dyDescent="0.3">
      <c r="A24" s="221" t="str">
        <f t="shared" ref="A24:I24" si="28">A10</f>
        <v>Stormwater</v>
      </c>
      <c r="B24" s="221" t="str">
        <f t="shared" si="28"/>
        <v>N.011363</v>
      </c>
      <c r="C24" s="221">
        <f t="shared" si="28"/>
        <v>28281</v>
      </c>
      <c r="D24" s="221" t="str">
        <f t="shared" si="28"/>
        <v>Howard Hunter Tributary Erosion management [2542]</v>
      </c>
      <c r="E24" s="221" t="str">
        <f t="shared" si="28"/>
        <v>To do</v>
      </c>
      <c r="F24" s="221" t="str">
        <f t="shared" si="28"/>
        <v>Yes</v>
      </c>
      <c r="G24" s="221" t="str">
        <f t="shared" si="28"/>
        <v>No</v>
      </c>
      <c r="H24" s="221">
        <f t="shared" si="28"/>
        <v>2027</v>
      </c>
      <c r="I24" s="221">
        <f t="shared" si="28"/>
        <v>2027</v>
      </c>
      <c r="J24" s="222">
        <f t="shared" si="13"/>
        <v>1151843.6914559999</v>
      </c>
      <c r="K24" s="177">
        <f t="shared" si="21"/>
        <v>0.1</v>
      </c>
      <c r="L24" s="222">
        <f t="shared" si="8"/>
        <v>115184.36914559999</v>
      </c>
      <c r="M24" s="178">
        <f t="shared" si="22"/>
        <v>0.5</v>
      </c>
      <c r="N24" s="178">
        <f t="shared" si="22"/>
        <v>0.5</v>
      </c>
      <c r="O24" s="178">
        <f t="shared" si="22"/>
        <v>0.5</v>
      </c>
      <c r="P24" s="178">
        <f t="shared" si="22"/>
        <v>0.4</v>
      </c>
      <c r="Q24" s="222">
        <f t="shared" ref="Q24:AS24" si="29">Q10*Q$15</f>
        <v>0</v>
      </c>
      <c r="R24" s="222">
        <f t="shared" si="29"/>
        <v>0</v>
      </c>
      <c r="S24" s="222">
        <f t="shared" si="29"/>
        <v>1151843.6914559999</v>
      </c>
      <c r="T24" s="222">
        <f t="shared" si="29"/>
        <v>0</v>
      </c>
      <c r="U24" s="222">
        <f t="shared" si="29"/>
        <v>0</v>
      </c>
      <c r="V24" s="222">
        <f t="shared" si="29"/>
        <v>0</v>
      </c>
      <c r="W24" s="222">
        <f t="shared" si="29"/>
        <v>0</v>
      </c>
      <c r="X24" s="222">
        <f t="shared" si="29"/>
        <v>0</v>
      </c>
      <c r="Y24" s="222">
        <f t="shared" si="29"/>
        <v>0</v>
      </c>
      <c r="Z24" s="222">
        <f t="shared" si="29"/>
        <v>0</v>
      </c>
      <c r="AA24" s="222">
        <f t="shared" si="29"/>
        <v>0</v>
      </c>
      <c r="AB24" s="222">
        <f t="shared" si="29"/>
        <v>0</v>
      </c>
      <c r="AC24" s="222">
        <f t="shared" si="29"/>
        <v>0</v>
      </c>
      <c r="AD24" s="222">
        <f t="shared" si="29"/>
        <v>0</v>
      </c>
      <c r="AE24" s="222">
        <f t="shared" si="29"/>
        <v>0</v>
      </c>
      <c r="AF24" s="222">
        <f t="shared" si="29"/>
        <v>0</v>
      </c>
      <c r="AG24" s="222">
        <f t="shared" si="29"/>
        <v>0</v>
      </c>
      <c r="AH24" s="222">
        <f t="shared" si="29"/>
        <v>0</v>
      </c>
      <c r="AI24" s="222">
        <f t="shared" si="29"/>
        <v>0</v>
      </c>
      <c r="AJ24" s="222">
        <f t="shared" si="29"/>
        <v>0</v>
      </c>
      <c r="AK24" s="222">
        <f t="shared" si="29"/>
        <v>0</v>
      </c>
      <c r="AL24" s="222">
        <f t="shared" si="29"/>
        <v>0</v>
      </c>
      <c r="AM24" s="222">
        <f t="shared" si="29"/>
        <v>0</v>
      </c>
      <c r="AN24" s="222">
        <f t="shared" si="29"/>
        <v>0</v>
      </c>
      <c r="AO24" s="222">
        <f t="shared" si="29"/>
        <v>0</v>
      </c>
      <c r="AP24" s="222">
        <f t="shared" si="29"/>
        <v>0</v>
      </c>
      <c r="AQ24" s="222">
        <f t="shared" si="29"/>
        <v>0</v>
      </c>
      <c r="AR24" s="222">
        <f t="shared" si="29"/>
        <v>0</v>
      </c>
      <c r="AS24" s="222">
        <f t="shared" si="29"/>
        <v>0</v>
      </c>
      <c r="AT24" s="222"/>
      <c r="AU24" s="224">
        <f t="shared" si="15"/>
        <v>1151843.6914559999</v>
      </c>
      <c r="AV24" s="243" t="s">
        <v>203</v>
      </c>
      <c r="AW24" s="222">
        <f t="shared" si="16"/>
        <v>575921.84572799993</v>
      </c>
      <c r="AX24" s="222">
        <f t="shared" si="17"/>
        <v>575921.84572799993</v>
      </c>
      <c r="AY24" s="222">
        <f t="shared" si="18"/>
        <v>460737.47658239998</v>
      </c>
      <c r="AZ24" s="222">
        <f t="shared" si="19"/>
        <v>115184.36914559999</v>
      </c>
    </row>
    <row r="25" spans="1:52" x14ac:dyDescent="0.3">
      <c r="AW25" s="180">
        <f>SUM(AW19:AW24)</f>
        <v>46384970.199228987</v>
      </c>
      <c r="AX25" s="180">
        <f>SUM(AX19:AX24)</f>
        <v>23590928.680789221</v>
      </c>
      <c r="AY25" s="180">
        <f t="shared" ref="AY25:AZ25" si="30">SUM(AY19:AY24)</f>
        <v>11658112.116887726</v>
      </c>
      <c r="AZ25" s="180">
        <f t="shared" si="30"/>
        <v>11932816.563901497</v>
      </c>
    </row>
  </sheetData>
  <sheetProtection algorithmName="SHA-512" hashValue="PnJ94fM6EHdyS4Ui9QsxUK3lG1uSmXdar+UuX5daZse2qCxAUNzOWStrt8R1rYrPGldrI3ypjZhVTO5e4A4HHQ==" saltValue="0KfAlXYvsRdD+C1guugkgA==" spinCount="100000" sheet="1" objects="1" scenarios="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C Document" ma:contentTypeID="0x0101002C077D48E00142679356CE2B4EBC2E0300A501098755B87E45AF4B22DFC2AB991C" ma:contentTypeVersion="92" ma:contentTypeDescription="AC Document Content Type" ma:contentTypeScope="" ma:versionID="339b3782405f09c90d8f61b3a5bd9509">
  <xsd:schema xmlns:xsd="http://www.w3.org/2001/XMLSchema" xmlns:xs="http://www.w3.org/2001/XMLSchema" xmlns:p="http://schemas.microsoft.com/office/2006/metadata/properties" xmlns:ns2="5ef4b7aa-7aea-418a-8ed8-ffd932bc8662" xmlns:ns3="http://schemas.microsoft.com/sharepoint/v3/fields" xmlns:ns4="3d8650a9-2baf-4bb5-903b-8b7de6a3dda0" targetNamespace="http://schemas.microsoft.com/office/2006/metadata/properties" ma:root="true" ma:fieldsID="2fe65673cde4860ab979572897cd621f" ns2:_="" ns3:_="" ns4:_="">
    <xsd:import namespace="5ef4b7aa-7aea-418a-8ed8-ffd932bc8662"/>
    <xsd:import namespace="http://schemas.microsoft.com/sharepoint/v3/fields"/>
    <xsd:import namespace="3d8650a9-2baf-4bb5-903b-8b7de6a3dda0"/>
    <xsd:element name="properties">
      <xsd:complexType>
        <xsd:sequence>
          <xsd:element name="documentManagement">
            <xsd:complexType>
              <xsd:all>
                <xsd:element ref="ns2:AC_Description" minOccurs="0"/>
                <xsd:element ref="ns3:AC_ContentTypeTaxHTField0" minOccurs="0"/>
                <xsd:element ref="ns3:AC_TopicsTaxHTField0" minOccurs="0"/>
                <xsd:element ref="ns3:AC_AudienceTaxHTField0" minOccurs="0"/>
                <xsd:element ref="ns3:AC_PublicationTaxHTField0" minOccurs="0"/>
                <xsd:element ref="ns4:TaxCatchAll" minOccurs="0"/>
                <xsd:element ref="ns4:TaxCatchAllLabel" minOccurs="0"/>
                <xsd:element ref="ns2:AC_Docume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4b7aa-7aea-418a-8ed8-ffd932bc8662" elementFormDefault="qualified">
    <xsd:import namespace="http://schemas.microsoft.com/office/2006/documentManagement/types"/>
    <xsd:import namespace="http://schemas.microsoft.com/office/infopath/2007/PartnerControls"/>
    <xsd:element name="AC_Description" ma:index="8" nillable="true" ma:displayName="Description" ma:internalName="AC_Description">
      <xsd:simpleType>
        <xsd:restriction base="dms:Unknown"/>
      </xsd:simpleType>
    </xsd:element>
    <xsd:element name="AC_DocumentOrder" ma:index="19" nillable="true" ma:displayName="Document Order" ma:internalName="AC_DocumentOrd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AC_ContentTypeTaxHTField0" ma:index="10" nillable="true" ma:taxonomy="true" ma:internalName="AC_ContentTypeTaxHTField0" ma:taxonomyFieldName="AC_ContentType" ma:displayName="AC Content type" ma:fieldId="{36864dc1-8c85-40b9-a529-94cab27301b5}" ma:sspId="299171b0-b289-420f-a4d1-394c303d5db4" ma:termSetId="48a4c375-39b7-47d7-b1bd-84cda6c52657" ma:anchorId="00000000-0000-0000-0000-000000000000" ma:open="false" ma:isKeyword="false">
      <xsd:complexType>
        <xsd:sequence>
          <xsd:element ref="pc:Terms" minOccurs="0" maxOccurs="1"/>
        </xsd:sequence>
      </xsd:complexType>
    </xsd:element>
    <xsd:element name="AC_TopicsTaxHTField0" ma:index="12" nillable="true" ma:taxonomy="true" ma:internalName="AC_TopicsTaxHTField0" ma:taxonomyFieldName="AC_Topics" ma:displayName="Topics" ma:fieldId="{2281546e-80a5-46a6-b7bd-1f24bf682749}" ma:taxonomyMulti="true" ma:sspId="299171b0-b289-420f-a4d1-394c303d5db4" ma:termSetId="ac846514-6544-4c4b-8dd0-07595a2265ab" ma:anchorId="00000000-0000-0000-0000-000000000000" ma:open="false" ma:isKeyword="false">
      <xsd:complexType>
        <xsd:sequence>
          <xsd:element ref="pc:Terms" minOccurs="0" maxOccurs="1"/>
        </xsd:sequence>
      </xsd:complexType>
    </xsd:element>
    <xsd:element name="AC_AudienceTaxHTField0" ma:index="14" nillable="true" ma:taxonomy="true" ma:internalName="AC_AudienceTaxHTField0" ma:taxonomyFieldName="AC_Audience" ma:displayName="Audience" ma:fieldId="{9787bcdf-2609-4d2f-8068-9c30d2a88fc3}" ma:taxonomyMulti="true" ma:sspId="299171b0-b289-420f-a4d1-394c303d5db4" ma:termSetId="295a50ec-85ee-4ffb-af76-b7075334a102" ma:anchorId="00000000-0000-0000-0000-000000000000" ma:open="false" ma:isKeyword="false">
      <xsd:complexType>
        <xsd:sequence>
          <xsd:element ref="pc:Terms" minOccurs="0" maxOccurs="1"/>
        </xsd:sequence>
      </xsd:complexType>
    </xsd:element>
    <xsd:element name="AC_PublicationTaxHTField0" ma:index="16" nillable="true" ma:taxonomy="true" ma:internalName="AC_PublicationTaxHTField0" ma:taxonomyFieldName="AC_Publication" ma:displayName="Publication" ma:fieldId="{f06de576-59f8-4f27-aea1-f8d052f69acc}" ma:taxonomyMulti="true" ma:sspId="299171b0-b289-420f-a4d1-394c303d5db4" ma:termSetId="5ad3a0fe-5fdb-4d0f-8e2d-7a3947cc784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d8650a9-2baf-4bb5-903b-8b7de6a3dda0" elementFormDefault="qualified">
    <xsd:import namespace="http://schemas.microsoft.com/office/2006/documentManagement/types"/>
    <xsd:import namespace="http://schemas.microsoft.com/office/infopath/2007/PartnerControls"/>
    <xsd:element name="TaxCatchAll" ma:index="17" nillable="true" ma:displayName="Taxonomy Catch All Column" ma:description="" ma:hidden="true" ma:list="{fb779384-d682-45e5-812a-eddc33f71c39}" ma:internalName="TaxCatchAll" ma:showField="CatchAllData" ma:web="3d8650a9-2baf-4bb5-903b-8b7de6a3dda0">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description="" ma:hidden="true" ma:list="{fb779384-d682-45e5-812a-eddc33f71c39}" ma:internalName="TaxCatchAllLabel" ma:readOnly="true" ma:showField="CatchAllDataLabel" ma:web="3d8650a9-2baf-4bb5-903b-8b7de6a3dd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C_AudienceTaxHTField0 xmlns="http://schemas.microsoft.com/sharepoint/v3/fields">
      <Terms xmlns="http://schemas.microsoft.com/office/infopath/2007/PartnerControls"/>
    </AC_AudienceTaxHTField0>
    <AC_Description xmlns="5ef4b7aa-7aea-418a-8ed8-ffd932bc8662" xsi:nil="true"/>
    <AC_ContentTypeTaxHTField0 xmlns="http://schemas.microsoft.com/sharepoint/v3/fields">
      <Terms xmlns="http://schemas.microsoft.com/office/infopath/2007/PartnerControls"/>
    </AC_ContentTypeTaxHTField0>
    <AC_PublicationTaxHTField0 xmlns="http://schemas.microsoft.com/sharepoint/v3/fields">
      <Terms xmlns="http://schemas.microsoft.com/office/infopath/2007/PartnerControls">
        <TermInfo xmlns="http://schemas.microsoft.com/office/infopath/2007/PartnerControls">
          <TermName xmlns="http://schemas.microsoft.com/office/infopath/2007/PartnerControls">Information sheet</TermName>
          <TermId xmlns="http://schemas.microsoft.com/office/infopath/2007/PartnerControls">31afde06-3a25-468d-86c9-8334d241ffbe</TermId>
        </TermInfo>
      </Terms>
    </AC_PublicationTaxHTField0>
    <AC_DocumentOrder xmlns="5ef4b7aa-7aea-418a-8ed8-ffd932bc8662">20</AC_DocumentOrder>
    <TaxCatchAll xmlns="3d8650a9-2baf-4bb5-903b-8b7de6a3dda0">
      <Value>965</Value>
      <Value>985</Value>
    </TaxCatchAll>
    <AC_TopicsTaxHTField0 xmlns="http://schemas.microsoft.com/sharepoint/v3/fields">
      <Terms xmlns="http://schemas.microsoft.com/office/infopath/2007/PartnerControls">
        <TermInfo xmlns="http://schemas.microsoft.com/office/infopath/2007/PartnerControls">
          <TermName xmlns="http://schemas.microsoft.com/office/infopath/2007/PartnerControls">Accommodations</TermName>
          <TermId xmlns="http://schemas.microsoft.com/office/infopath/2007/PartnerControls">efd5c34c-0aa2-4926-8284-14f00136f5b6</TermId>
        </TermInfo>
      </Terms>
    </AC_TopicsTaxHTField0>
  </documentManagement>
</p:properties>
</file>

<file path=customXml/itemProps1.xml><?xml version="1.0" encoding="utf-8"?>
<ds:datastoreItem xmlns:ds="http://schemas.openxmlformats.org/officeDocument/2006/customXml" ds:itemID="{B0BBD413-313F-426A-B54A-AEC1FAC80CA2}"/>
</file>

<file path=customXml/itemProps2.xml><?xml version="1.0" encoding="utf-8"?>
<ds:datastoreItem xmlns:ds="http://schemas.openxmlformats.org/officeDocument/2006/customXml" ds:itemID="{F059E368-C9C1-41C7-BE84-BA4173C1DAC9}"/>
</file>

<file path=customXml/itemProps3.xml><?xml version="1.0" encoding="utf-8"?>
<ds:datastoreItem xmlns:ds="http://schemas.openxmlformats.org/officeDocument/2006/customXml" ds:itemID="{4AA053F7-55A1-47C6-A517-69C42C0638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Renewal Rates</vt:lpstr>
      <vt:lpstr>Growth</vt:lpstr>
      <vt:lpstr>Consultation</vt:lpstr>
      <vt:lpstr>Tamaki Pipe Net Scen 2</vt:lpstr>
      <vt:lpstr>Tamaki Pipe Net Scen 3</vt:lpstr>
      <vt:lpstr>Tamaki Scenario Summary</vt:lpstr>
      <vt:lpstr>Tamaki Pipe Network UnEscal</vt:lpstr>
      <vt:lpstr>Tamaki Pipe Network  Escal</vt:lpstr>
      <vt:lpstr>Tamaki Specific Proj Escalated</vt:lpstr>
      <vt:lpstr>30 yr projects not in LTP</vt:lpstr>
      <vt:lpstr>Projects in LTP &amp; DCs</vt:lpstr>
    </vt:vector>
  </TitlesOfParts>
  <Company>Auckland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Development Contributions Policy 2025: Stormwater Tamaki Capex Model</dc:title>
  <dc:creator/>
  <cp:lastModifiedBy>Auckland Council</cp:lastModifiedBy>
  <dcterms:created xsi:type="dcterms:W3CDTF">2024-12-19T01:51:10Z</dcterms:created>
  <dcterms:modified xsi:type="dcterms:W3CDTF">2025-06-23T00:27:13Z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0x0101002C077D48E00142679356CE2B4EBC2E0300A501098755B87E45AF4B22DFC2AB991C</vt:lpwstr>
  </property>
  <property fmtid="{D5CDD505-2E9C-101B-9397-08002B2CF9AE}" pid="3" name="AC_Topics">
    <vt:lpwstr>965;#Accommodations|efd5c34c-0aa2-4926-8284-14f00136f5b6</vt:lpwstr>
  </property>
  <property fmtid="{D5CDD505-2E9C-101B-9397-08002B2CF9AE}" pid="4" name="AC_Audience">
    <vt:lpwstr/>
  </property>
  <property fmtid="{D5CDD505-2E9C-101B-9397-08002B2CF9AE}" pid="5" name="AC_ContentType">
    <vt:lpwstr/>
  </property>
  <property fmtid="{D5CDD505-2E9C-101B-9397-08002B2CF9AE}" pid="6" name="AC_Publication">
    <vt:lpwstr>985;#Information sheet|31afde06-3a25-468d-86c9-8334d241ffbe</vt:lpwstr>
  </property>
</Properties>
</file>